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 tabRatio="802"/>
  </bookViews>
  <sheets>
    <sheet name="CUSTO TOTAL MENSAL" sheetId="13" r:id="rId1"/>
    <sheet name="1. Coleta Domiciliar" sheetId="2" r:id="rId2"/>
    <sheet name="2. Triagem, Transbordo" sheetId="10" r:id="rId3"/>
    <sheet name="3. Transporte" sheetId="11" r:id="rId4"/>
    <sheet name="4. Destinação final" sheetId="12" r:id="rId5"/>
    <sheet name="5.Encargos Sociais" sheetId="8" r:id="rId6"/>
    <sheet name="6.CAGED" sheetId="5" r:id="rId7"/>
    <sheet name="7.BDI" sheetId="4" r:id="rId8"/>
    <sheet name="8. Depreciação" sheetId="6" r:id="rId9"/>
    <sheet name="9.Remuneração de capital" sheetId="7" r:id="rId10"/>
    <sheet name="10. Dimensionamento" sheetId="9" r:id="rId11"/>
  </sheets>
  <definedNames>
    <definedName name="AbaDeprec">'8. Depreciação'!$A$1</definedName>
    <definedName name="AbaRemun">'9.Remuneração de capital'!$A$1</definedName>
    <definedName name="_xlnm.Print_Area" localSheetId="1">'1. Coleta Domiciliar'!$A$1:$F$320</definedName>
    <definedName name="_xlnm.Print_Area" localSheetId="5">'5.Encargos Sociais'!$A$1:$C$36</definedName>
    <definedName name="_xlnm.Print_Titles" localSheetId="1">'1. Coleta Domiciliar'!$1:$6</definedName>
    <definedName name="_xlnm.Print_Area" localSheetId="2">'2. Triagem, Transbordo'!$A$1:$F$278</definedName>
    <definedName name="_xlnm.Print_Titles" localSheetId="2">'2. Triagem, Transbordo'!$1:$6</definedName>
    <definedName name="_xlnm.Print_Area" localSheetId="3">'3. Transporte'!$A$1:$F$222</definedName>
    <definedName name="_xlnm.Print_Titles" localSheetId="3">'3. Transporte'!$1:$6</definedName>
    <definedName name="_xlnm.Print_Area" localSheetId="4">'4. Destinação final'!$A$1:$F$41</definedName>
    <definedName name="_xlnm.Print_Titles" localSheetId="4">'4. Destinação final'!$1:$6</definedName>
    <definedName name="_xlnm.Print_Area" localSheetId="0">'CUSTO TOTAL MENSAL'!$A$1:$F$14</definedName>
    <definedName name="_xlnm.Print_Titles" localSheetId="0">'CUSTO TOTAL MENSAL'!#REF!</definedName>
  </definedNames>
  <calcPr calcId="144525"/>
</workbook>
</file>

<file path=xl/comments1.xml><?xml version="1.0" encoding="utf-8"?>
<comments xmlns="http://schemas.openxmlformats.org/spreadsheetml/2006/main">
  <authors>
    <author>Clauber Bridi</author>
  </authors>
  <commentList>
    <comment ref="A4" authorId="0">
      <text>
        <r>
          <rPr>
            <sz val="9"/>
            <rFont val="Tahoma"/>
            <charset val="134"/>
          </rPr>
          <t xml:space="preserve">Qualquer custo previsto no edital e não contemplado nesta planilha modelo deverá ser devidamente incluído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1" authorId="0">
      <text>
        <r>
          <rPr>
            <sz val="9"/>
            <rFont val="Tahoma"/>
            <charset val="134"/>
          </rPr>
          <t xml:space="preserve">Qualquer custo previsto no edital e não contemplado nesta planilha modelo deverá ser devidamente incluído
</t>
        </r>
      </text>
    </comment>
    <comment ref="B48" authorId="0">
      <text>
        <r>
          <rPr>
            <b/>
            <sz val="9"/>
            <rFont val="Tahoma"/>
            <charset val="134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rFont val="Tahoma"/>
            <charset val="134"/>
          </rPr>
          <t xml:space="preserve">
</t>
        </r>
      </text>
    </comment>
    <comment ref="D54" authorId="0">
      <text>
        <r>
          <rPr>
            <sz val="9"/>
            <rFont val="Tahoma"/>
            <charset val="134"/>
          </rPr>
          <t>Informar o Piso da categoria fixado na Convenção Coletiva</t>
        </r>
      </text>
    </comment>
    <comment ref="C55" authorId="0">
      <text>
        <r>
          <rPr>
            <sz val="9"/>
            <rFont val="Tahoma"/>
            <charset val="134"/>
          </rPr>
          <t xml:space="preserve">Informar o número de horas extras trabalhadas nos domingos e feriados em horário diurno
</t>
        </r>
      </text>
    </comment>
    <comment ref="C56" authorId="0">
      <text>
        <r>
          <rPr>
            <sz val="9"/>
            <rFont val="Tahoma"/>
            <charset val="134"/>
          </rPr>
          <t xml:space="preserve">Informar o número de horas extras trabalhadas em horário diurno de segunda a sábado 
</t>
        </r>
      </text>
    </comment>
    <comment ref="A57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60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62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C68" authorId="0">
      <text>
        <r>
          <rPr>
            <sz val="9"/>
            <rFont val="Tahoma"/>
            <charset val="134"/>
          </rPr>
          <t>Informar o número de horas noturnas trabalhadas no intervalo das 22:00h as 5:00h</t>
        </r>
      </text>
    </comment>
    <comment ref="C70" authorId="0">
      <text>
        <r>
          <rPr>
            <sz val="9"/>
            <rFont val="Tahoma"/>
            <charset val="134"/>
          </rPr>
          <t>Informar o número de horas extras trabalhadas em horário diurno nos domingos e feriados</t>
        </r>
      </text>
    </comment>
    <comment ref="C71" authorId="0">
      <text>
        <r>
          <rPr>
            <sz val="9"/>
            <rFont val="Tahoma"/>
            <charset val="134"/>
          </rPr>
          <t xml:space="preserve">Informar o número de horas extras trabalhadas em horário noturno (das 22:00h as 5h) nos domingos e feriados
</t>
        </r>
      </text>
    </comment>
    <comment ref="C73" authorId="0">
      <text>
        <r>
          <rPr>
            <sz val="9"/>
            <rFont val="Tahoma"/>
            <charset val="134"/>
          </rPr>
          <t>Informar o número de horas extras trabalhadas em horário noturno de segunda à sábado</t>
        </r>
      </text>
    </comment>
    <comment ref="C74" authorId="0">
      <text>
        <r>
          <rPr>
            <sz val="9"/>
            <rFont val="Tahoma"/>
            <charset val="134"/>
          </rPr>
          <t>Informar o número de horas extras trabalhadas em horário noturno (das 22:00h as 5h) de segunda a sábado</t>
        </r>
      </text>
    </comment>
    <comment ref="A76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Considerados 63 feriados + domingos e 302 dias trabalhados por ano
</t>
        </r>
      </text>
    </comment>
    <comment ref="C79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81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D86" authorId="0">
      <text>
        <r>
          <rPr>
            <sz val="9"/>
            <rFont val="Tahoma"/>
            <charset val="134"/>
          </rPr>
          <t>Informar o Piso da categoria fixado na Convenção Coletiva</t>
        </r>
      </text>
    </comment>
    <comment ref="D87" authorId="0">
      <text>
        <r>
          <rPr>
            <sz val="9"/>
            <rFont val="Tahoma"/>
            <charset val="134"/>
          </rPr>
          <t>Informar o valor do salário Mínimo Nacional</t>
        </r>
      </text>
    </comment>
    <comment ref="C88" authorId="0">
      <text>
        <r>
          <rPr>
            <sz val="9"/>
            <rFont val="Tahoma"/>
            <charset val="134"/>
          </rPr>
          <t>Informar o número de horas extras trabalhadas em horário diurno nos domingos e feriados</t>
        </r>
      </text>
    </comment>
    <comment ref="C89" authorId="0">
      <text>
        <r>
          <rPr>
            <sz val="9"/>
            <rFont val="Tahoma"/>
            <charset val="134"/>
          </rPr>
          <t xml:space="preserve">Informar o número de horas extras trabalhadas em horário diurno de segunda a sábado 
</t>
        </r>
      </text>
    </comment>
    <comment ref="A90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91" authorId="0">
      <text>
        <r>
          <rPr>
            <sz val="9"/>
            <rFont val="Tahoma"/>
            <charset val="134"/>
          </rPr>
          <t xml:space="preserve">Informar 1 se a base de cálculo for o Salário Mínimo Nacional; Informar 2 se a base de cálculo for o Piso da Categoria; 
</t>
        </r>
      </text>
    </comment>
    <comment ref="C92" authorId="0">
      <text>
        <r>
          <rPr>
            <sz val="9"/>
            <rFont val="Tahoma"/>
            <charset val="134"/>
          </rPr>
          <t>Percentual estabelecido nas Normas de Segurança de Trabalho ou pelo laudo de responsável técnico devidamente habilitado</t>
        </r>
      </text>
    </comment>
    <comment ref="C94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96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C103" authorId="0">
      <text>
        <r>
          <rPr>
            <sz val="9"/>
            <rFont val="Tahoma"/>
            <charset val="134"/>
          </rPr>
          <t>Informar o número de horas noturnas trabalhadas no intervalo das 22:00h as 5:00h</t>
        </r>
      </text>
    </comment>
    <comment ref="C105" authorId="0">
      <text>
        <r>
          <rPr>
            <sz val="9"/>
            <rFont val="Tahoma"/>
            <charset val="134"/>
          </rPr>
          <t>Informar o número de horas extras trabalhadas em horário noturno nos domingos e feriados</t>
        </r>
      </text>
    </comment>
    <comment ref="C106" authorId="0">
      <text>
        <r>
          <rPr>
            <sz val="9"/>
            <rFont val="Tahoma"/>
            <charset val="134"/>
          </rPr>
          <t xml:space="preserve">Informar o número de horas extras trabalhadas em horário noturno (das 22:00h as 5h) nos domingos e feriados
</t>
        </r>
      </text>
    </comment>
    <comment ref="C108" authorId="0">
      <text>
        <r>
          <rPr>
            <sz val="9"/>
            <rFont val="Tahoma"/>
            <charset val="134"/>
          </rPr>
          <t>Informar o número de horas extras trabalhadas em horário noturno de segunda à sábado</t>
        </r>
      </text>
    </comment>
    <comment ref="C109" authorId="0">
      <text>
        <r>
          <rPr>
            <sz val="9"/>
            <rFont val="Tahoma"/>
            <charset val="134"/>
          </rPr>
          <t>Informar o número de horas extras trabalhadas em horário noturno (das 22:00h as 5h) de segunda a sábado</t>
        </r>
      </text>
    </comment>
    <comment ref="A111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Considerados 63 feriados + domingos e 302 dias trabalhados por ano
</t>
        </r>
      </text>
    </comment>
    <comment ref="C112" authorId="0">
      <text>
        <r>
          <rPr>
            <sz val="9"/>
            <rFont val="Tahoma"/>
            <charset val="134"/>
          </rPr>
          <t xml:space="preserve">Informar 1 se a base de cálculo for o Salário Mínimo Nacional; Informar 2 se a base de cálculo for o Piso da Categoria; 
</t>
        </r>
      </text>
    </comment>
    <comment ref="C115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117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D122" authorId="0">
      <text>
        <r>
          <rPr>
            <sz val="9"/>
            <rFont val="Tahoma"/>
            <charset val="134"/>
          </rPr>
          <t>Informar o valor unitário do VT no município</t>
        </r>
      </text>
    </comment>
    <comment ref="C123" authorId="0">
      <text>
        <r>
          <rPr>
            <sz val="9"/>
            <rFont val="Tahoma"/>
            <charset val="134"/>
          </rPr>
          <t>Informar o número médio de dias trabalhados por mês</t>
        </r>
      </text>
    </comment>
    <comment ref="D124" authorId="0">
      <text>
        <r>
          <rPr>
            <sz val="9"/>
            <rFont val="Tahoma"/>
            <charset val="134"/>
          </rPr>
          <t>Valor Unitário considerando o desconto legal de até 6% do salário</t>
        </r>
      </text>
    </comment>
    <comment ref="D125" authorId="0">
      <text>
        <r>
          <rPr>
            <sz val="9"/>
            <rFont val="Tahoma"/>
            <charset val="134"/>
          </rPr>
          <t xml:space="preserve">Valor Unitário considerando o desconto legal de até 6% do salário
</t>
        </r>
      </text>
    </comment>
    <comment ref="D130" authorId="0">
      <text>
        <r>
          <rPr>
            <sz val="9"/>
            <rFont val="Tahoma"/>
            <charset val="134"/>
          </rPr>
          <t>Informar o valor unitário diário do vale refeição conforme Convenção Coletiva da categoria</t>
        </r>
      </text>
    </comment>
    <comment ref="D131" authorId="0">
      <text>
        <r>
          <rPr>
            <sz val="9"/>
            <rFont val="Tahoma"/>
            <charset val="134"/>
          </rPr>
          <t>Informar o valor unitário diário do vale refeição conforme Convenção Coletiva da categoria</t>
        </r>
      </text>
    </comment>
    <comment ref="D136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37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42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43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48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49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C159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59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0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0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1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1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2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2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3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3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4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4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5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5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6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6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7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7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68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68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D169" authorId="0">
      <text>
        <r>
          <rPr>
            <sz val="9"/>
            <rFont val="Tahoma"/>
            <charset val="134"/>
          </rPr>
          <t>Informar o valor mensal de higienização de uniforme para 1 funcionário</t>
        </r>
      </text>
    </comment>
    <comment ref="C176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77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78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79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80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81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82" authorId="0">
      <text>
        <r>
          <rPr>
            <sz val="9"/>
            <rFont val="Tahoma"/>
            <charset val="134"/>
          </rPr>
          <t>Informar o valor mensal de higienização de uniforme para 1 funcionário</t>
        </r>
      </text>
    </comment>
    <comment ref="D194" authorId="0">
      <text>
        <r>
          <rPr>
            <sz val="9"/>
            <rFont val="Tahoma"/>
            <charset val="134"/>
          </rPr>
          <t>Informar o preço unitário do chassis do caminhão de coleta</t>
        </r>
      </text>
    </comment>
    <comment ref="C195" authorId="0">
      <text>
        <r>
          <rPr>
            <sz val="9"/>
            <rFont val="Tahoma"/>
            <charset val="134"/>
          </rPr>
          <t>Informar a vida útil estimada para o caminhão, em anos</t>
        </r>
      </text>
    </comment>
    <comment ref="C196" authorId="0">
      <text>
        <r>
          <rPr>
            <sz val="9"/>
            <rFont val="Tahoma"/>
            <charset val="134"/>
          </rPr>
          <t>Na elaboração do orçamento-base da licitação, informar 0 (zero). Na proposta da licitante, informar a idade do veículo proposto.</t>
        </r>
      </text>
    </comment>
    <comment ref="C197" authorId="0">
      <text>
        <r>
          <rPr>
            <b/>
            <sz val="9"/>
            <rFont val="Tahoma"/>
            <charset val="134"/>
          </rPr>
          <t xml:space="preserve">Informar o valor da depreciação do caminhão, adotando o valor sugerido pelo TCE ou outro valor estimado </t>
        </r>
        <r>
          <rPr>
            <sz val="9"/>
            <rFont val="Tahoma"/>
            <charset val="134"/>
          </rPr>
          <t xml:space="preserve">
</t>
        </r>
      </text>
    </comment>
    <comment ref="D199" authorId="0">
      <text>
        <r>
          <rPr>
            <sz val="9"/>
            <rFont val="Tahoma"/>
            <charset val="134"/>
          </rPr>
          <t xml:space="preserve">Informar o preço unitário do equipamento compactador
</t>
        </r>
      </text>
    </comment>
    <comment ref="C200" authorId="0">
      <text>
        <r>
          <rPr>
            <sz val="9"/>
            <rFont val="Tahoma"/>
            <charset val="134"/>
          </rPr>
          <t>Informar a vida útil estimada para o compactador, em anos</t>
        </r>
      </text>
    </comment>
    <comment ref="C201" authorId="0">
      <text>
        <r>
          <rPr>
            <sz val="9"/>
            <rFont val="Tahoma"/>
            <charset val="134"/>
          </rPr>
          <t>Na elaboração do orçamento-base da licitação, informar 0 (zero). Na proposta da licitante, informar a idade do compactador proposto.</t>
        </r>
      </text>
    </comment>
    <comment ref="C202" authorId="0">
      <text>
        <r>
          <rPr>
            <b/>
            <sz val="9"/>
            <rFont val="Tahoma"/>
            <charset val="134"/>
          </rPr>
          <t xml:space="preserve">Informar o valor da depreciação do compactador, adotando o valor sugerido pelo TCE ou outro valor estimado </t>
        </r>
        <r>
          <rPr>
            <sz val="9"/>
            <rFont val="Tahoma"/>
            <charset val="134"/>
          </rPr>
          <t xml:space="preserve">
</t>
        </r>
      </text>
    </comment>
    <comment ref="C205" authorId="0">
      <text>
        <r>
          <rPr>
            <sz val="9"/>
            <rFont val="Tahoma"/>
            <charset val="134"/>
          </rPr>
          <t>Informar a quantidade de caminhões compactadores do respectivo modelo</t>
        </r>
      </text>
    </comment>
    <comment ref="C211" authorId="0">
      <text>
        <r>
          <rPr>
            <b/>
            <sz val="9"/>
            <rFont val="Tahoma"/>
            <charset val="134"/>
          </rPr>
          <t>Informar a taxa de juros anual para remuneração do capital. Recomenda-se o uso da Taxa SELIC</t>
        </r>
        <r>
          <rPr>
            <sz val="9"/>
            <rFont val="Tahoma"/>
            <charset val="134"/>
          </rPr>
          <t xml:space="preserve">
</t>
        </r>
      </text>
    </comment>
    <comment ref="D227" authorId="0">
      <text>
        <r>
          <rPr>
            <sz val="9"/>
            <rFont val="Tahoma"/>
            <charset val="134"/>
          </rPr>
          <t xml:space="preserve">Informar o valor do seguro obrigatório e licenciamento anual de um caminhão
</t>
        </r>
      </text>
    </comment>
    <comment ref="D228" authorId="0">
      <text>
        <r>
          <rPr>
            <sz val="9"/>
            <rFont val="Tahoma"/>
            <charset val="134"/>
          </rPr>
          <t xml:space="preserve">Informar o valor do seguro contra terceiros de um caminhão, se houver
</t>
        </r>
      </text>
    </comment>
    <comment ref="B234" authorId="0">
      <text>
        <r>
          <rPr>
            <sz val="9"/>
            <rFont val="Tahoma"/>
            <charset val="134"/>
          </rPr>
          <t xml:space="preserve">Informar a quilometragem mensal percorrida, de acordo com o projeto básico
</t>
        </r>
      </text>
    </comment>
    <comment ref="C237" authorId="0">
      <text>
        <r>
          <rPr>
            <sz val="9"/>
            <rFont val="Tahoma"/>
            <charset val="134"/>
          </rPr>
          <t>Informar o consumo estimado do veículo em km/l</t>
        </r>
      </text>
    </comment>
    <comment ref="D237" authorId="0">
      <text>
        <r>
          <rPr>
            <sz val="9"/>
            <rFont val="Tahoma"/>
            <charset val="134"/>
          </rPr>
          <t xml:space="preserve">Informar o preço unitário do combustivel
</t>
        </r>
      </text>
    </comment>
    <comment ref="C239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239" authorId="0">
      <text>
        <r>
          <rPr>
            <sz val="9"/>
            <rFont val="Tahoma"/>
            <charset val="134"/>
          </rPr>
          <t xml:space="preserve">Informar o preço unitário do litro do óleo do motor
</t>
        </r>
      </text>
    </comment>
    <comment ref="C241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241" authorId="0">
      <text>
        <r>
          <rPr>
            <sz val="9"/>
            <rFont val="Tahoma"/>
            <charset val="134"/>
          </rPr>
          <t xml:space="preserve">Informar o preço unitário do litro do óleo do motor
</t>
        </r>
      </text>
    </comment>
    <comment ref="C243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243" authorId="0">
      <text>
        <r>
          <rPr>
            <sz val="9"/>
            <rFont val="Tahoma"/>
            <charset val="134"/>
          </rPr>
          <t xml:space="preserve">Informar o preço unitário do litro do óleo da transmissão
</t>
        </r>
      </text>
    </comment>
    <comment ref="C245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245" authorId="0">
      <text>
        <r>
          <rPr>
            <sz val="9"/>
            <rFont val="Tahoma"/>
            <charset val="134"/>
          </rPr>
          <t xml:space="preserve">Informar o preço unitário do litro do óleo hidráulico
</t>
        </r>
      </text>
    </comment>
    <comment ref="C247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247" authorId="0">
      <text>
        <r>
          <rPr>
            <sz val="9"/>
            <rFont val="Tahoma"/>
            <charset val="134"/>
          </rPr>
          <t xml:space="preserve">Informar o preço unitário do litro da graxa
</t>
        </r>
      </text>
    </comment>
    <comment ref="D254" authorId="0">
      <text>
        <r>
          <rPr>
            <sz val="9"/>
            <rFont val="Tahoma"/>
            <charset val="134"/>
          </rPr>
          <t xml:space="preserve">Informar o custo de manutenção em R$/km rodado
</t>
        </r>
      </text>
    </comment>
    <comment ref="C259" authorId="0">
      <text>
        <r>
          <rPr>
            <sz val="9"/>
            <rFont val="Tahoma"/>
            <charset val="134"/>
          </rPr>
          <t>Informar a quantidade de pneus novos de 1 caminhão</t>
        </r>
      </text>
    </comment>
    <comment ref="D259" authorId="0">
      <text>
        <r>
          <rPr>
            <sz val="9"/>
            <rFont val="Tahoma"/>
            <charset val="134"/>
          </rPr>
          <t xml:space="preserve">Informar o preço unitário de cada pneu
</t>
        </r>
      </text>
    </comment>
    <comment ref="C260" authorId="0">
      <text>
        <r>
          <rPr>
            <sz val="9"/>
            <rFont val="Tahoma"/>
            <charset val="134"/>
          </rPr>
          <t>Informar o número de recapagens por pneu</t>
        </r>
      </text>
    </comment>
    <comment ref="D261" authorId="0">
      <text>
        <r>
          <rPr>
            <sz val="9"/>
            <rFont val="Tahoma"/>
            <charset val="134"/>
          </rPr>
          <t xml:space="preserve">Informar o preço unitário de cada recapagem
</t>
        </r>
      </text>
    </comment>
    <comment ref="C262" authorId="0">
      <text>
        <r>
          <rPr>
            <sz val="9"/>
            <rFont val="Tahoma"/>
            <charset val="134"/>
          </rPr>
          <t xml:space="preserve">Informar a durabilidade média dos pneus considerando as recapagens, em km
</t>
        </r>
      </text>
    </comment>
    <comment ref="C272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2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73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3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74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4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75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5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76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6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A281" authorId="0">
      <text>
        <r>
          <rPr>
            <b/>
            <sz val="9"/>
            <rFont val="Tahoma"/>
            <charset val="134"/>
          </rPr>
          <t>Especificar somente quando for exigido no Projeto Básico</t>
        </r>
        <r>
          <rPr>
            <sz val="9"/>
            <rFont val="Tahoma"/>
            <charset val="134"/>
          </rPr>
          <t xml:space="preserve">
</t>
        </r>
      </text>
    </comment>
    <comment ref="D284" authorId="0">
      <text>
        <r>
          <rPr>
            <sz val="9"/>
            <rFont val="Tahoma"/>
            <charset val="134"/>
          </rPr>
          <t>Informar o valor total para instalação do equipamento de monitoramento da frota, se houver</t>
        </r>
      </text>
    </comment>
    <comment ref="D286" authorId="0">
      <text>
        <r>
          <rPr>
            <sz val="9"/>
            <rFont val="Tahoma"/>
            <charset val="134"/>
          </rPr>
          <t>Informar o valor unitário mensal para manutenção dos equipamentos de monitoramento</t>
        </r>
      </text>
    </comment>
    <comment ref="A292" authorId="0">
      <text>
        <r>
          <rPr>
            <b/>
            <sz val="9"/>
            <rFont val="Tahoma"/>
            <charset val="134"/>
          </rPr>
          <t>Especificar somente quando for exigido no Projeto Básico</t>
        </r>
        <r>
          <rPr>
            <sz val="9"/>
            <rFont val="Tahoma"/>
            <charset val="134"/>
          </rPr>
          <t xml:space="preserve">
</t>
        </r>
      </text>
    </comment>
    <comment ref="D295" authorId="0">
      <text>
        <r>
          <rPr>
            <sz val="9"/>
            <rFont val="Tahoma"/>
            <charset val="134"/>
          </rPr>
          <t>Informar o valor total para instalação do equipamento de monitoramento da frota, se houver</t>
        </r>
      </text>
    </comment>
    <comment ref="C305" authorId="0">
      <text>
        <r>
          <rPr>
            <sz val="9"/>
            <rFont val="Tahoma"/>
            <charset val="134"/>
          </rPr>
          <t>Preencher a aba 4.BDI</t>
        </r>
      </text>
    </comment>
    <comment ref="D314" authorId="0">
      <text>
        <r>
          <rPr>
            <sz val="9"/>
            <rFont val="Tahoma"/>
            <charset val="134"/>
          </rPr>
          <t xml:space="preserve">Informar a quantidade média coletada nos últimos 12 meses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1" authorId="0">
      <text>
        <r>
          <rPr>
            <sz val="9"/>
            <rFont val="Tahoma"/>
            <charset val="134"/>
          </rPr>
          <t xml:space="preserve">Qualquer custo previsto no edital e não contemplado nesta planilha modelo deverá ser devidamente incluído
</t>
        </r>
      </text>
    </comment>
    <comment ref="B50" authorId="0">
      <text>
        <r>
          <rPr>
            <b/>
            <sz val="9"/>
            <rFont val="Tahoma"/>
            <charset val="134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rFont val="Tahoma"/>
            <charset val="134"/>
          </rPr>
          <t xml:space="preserve">
</t>
        </r>
      </text>
    </comment>
    <comment ref="D56" authorId="0">
      <text>
        <r>
          <rPr>
            <sz val="9"/>
            <rFont val="Tahoma"/>
            <charset val="134"/>
          </rPr>
          <t>Informar o Piso da categoria fixado na Convenção Coletiva</t>
        </r>
      </text>
    </comment>
    <comment ref="C57" authorId="0">
      <text>
        <r>
          <rPr>
            <sz val="9"/>
            <rFont val="Tahoma"/>
            <charset val="134"/>
          </rPr>
          <t xml:space="preserve">Informar o número de horas extras trabalhadas nos domingos e feriados em horário diurno
</t>
        </r>
      </text>
    </comment>
    <comment ref="C58" authorId="0">
      <text>
        <r>
          <rPr>
            <sz val="9"/>
            <rFont val="Tahoma"/>
            <charset val="134"/>
          </rPr>
          <t xml:space="preserve">Informar o número de horas extras trabalhadas em horário diurno de segunda a sábado 
</t>
        </r>
      </text>
    </comment>
    <comment ref="A59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62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64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D69" authorId="0">
      <text>
        <r>
          <rPr>
            <sz val="9"/>
            <rFont val="Tahoma"/>
            <charset val="134"/>
          </rPr>
          <t>Informar o Piso da categoria fixado na Convenção Coletiva</t>
        </r>
      </text>
    </comment>
    <comment ref="D70" authorId="0">
      <text>
        <r>
          <rPr>
            <sz val="9"/>
            <rFont val="Tahoma"/>
            <charset val="134"/>
          </rPr>
          <t>Informar o valor do salário Mínimo Nacional</t>
        </r>
      </text>
    </comment>
    <comment ref="C71" authorId="0">
      <text>
        <r>
          <rPr>
            <sz val="9"/>
            <rFont val="Tahoma"/>
            <charset val="134"/>
          </rPr>
          <t>Informar o número de horas extras trabalhadas em horário diurno nos domingos e feriados</t>
        </r>
      </text>
    </comment>
    <comment ref="C72" authorId="0">
      <text>
        <r>
          <rPr>
            <sz val="9"/>
            <rFont val="Tahoma"/>
            <charset val="134"/>
          </rPr>
          <t xml:space="preserve">Informar o número de horas extras trabalhadas em horário diurno de segunda a sábado 
</t>
        </r>
      </text>
    </comment>
    <comment ref="A73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74" authorId="0">
      <text>
        <r>
          <rPr>
            <sz val="9"/>
            <rFont val="Tahoma"/>
            <charset val="134"/>
          </rPr>
          <t xml:space="preserve">Informar 1 se a base de cálculo for o Salário Mínimo Nacional; Informar 2 se a base de cálculo for o Piso da Categoria; 
</t>
        </r>
      </text>
    </comment>
    <comment ref="C75" authorId="0">
      <text>
        <r>
          <rPr>
            <sz val="9"/>
            <rFont val="Tahoma"/>
            <charset val="134"/>
          </rPr>
          <t>Percentual estabelecido nas Normas de Segurança de Trabalho ou pelo laudo de responsável técnico devidamente habilitado</t>
        </r>
      </text>
    </comment>
    <comment ref="C77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79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D85" authorId="0">
      <text>
        <r>
          <rPr>
            <sz val="9"/>
            <rFont val="Tahoma"/>
            <charset val="134"/>
          </rPr>
          <t>Informar o valor unitário do VT no município</t>
        </r>
      </text>
    </comment>
    <comment ref="C86" authorId="0">
      <text>
        <r>
          <rPr>
            <sz val="9"/>
            <rFont val="Tahoma"/>
            <charset val="134"/>
          </rPr>
          <t>Informar o número médio de dias trabalhados por mês</t>
        </r>
      </text>
    </comment>
    <comment ref="D87" authorId="0">
      <text>
        <r>
          <rPr>
            <sz val="9"/>
            <rFont val="Tahoma"/>
            <charset val="134"/>
          </rPr>
          <t>Valor Unitário considerando o desconto legal de até 6% do salário</t>
        </r>
      </text>
    </comment>
    <comment ref="D88" authorId="0">
      <text>
        <r>
          <rPr>
            <sz val="9"/>
            <rFont val="Tahoma"/>
            <charset val="134"/>
          </rPr>
          <t xml:space="preserve">Valor Unitário considerando o desconto legal de até 6% do salário
</t>
        </r>
      </text>
    </comment>
    <comment ref="D93" authorId="0">
      <text>
        <r>
          <rPr>
            <sz val="9"/>
            <rFont val="Tahoma"/>
            <charset val="134"/>
          </rPr>
          <t>Informar o valor unitário diário do vale refeição conforme Convenção Coletiva da categoria</t>
        </r>
      </text>
    </comment>
    <comment ref="D94" authorId="0">
      <text>
        <r>
          <rPr>
            <sz val="9"/>
            <rFont val="Tahoma"/>
            <charset val="134"/>
          </rPr>
          <t>Informar o valor unitário diário do vale refeição conforme Convenção Coletiva da categoria</t>
        </r>
      </text>
    </comment>
    <comment ref="D99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00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05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06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11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112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C122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2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3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3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4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4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5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5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6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6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7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7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8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8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29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29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30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30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131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31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D132" authorId="0">
      <text>
        <r>
          <rPr>
            <sz val="9"/>
            <rFont val="Tahoma"/>
            <charset val="134"/>
          </rPr>
          <t>Informar o valor mensal de higienização de uniforme para 1 funcionário</t>
        </r>
      </text>
    </comment>
    <comment ref="C139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40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41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42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43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C144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145" authorId="0">
      <text>
        <r>
          <rPr>
            <sz val="9"/>
            <rFont val="Tahoma"/>
            <charset val="134"/>
          </rPr>
          <t>Informar o valor mensal de higienização de uniforme para 1 funcionário</t>
        </r>
      </text>
    </comment>
    <comment ref="D157" authorId="0">
      <text>
        <r>
          <rPr>
            <sz val="9"/>
            <rFont val="Tahoma"/>
            <charset val="134"/>
          </rPr>
          <t>Informar o preço unitário do chassis do caminhão de coleta</t>
        </r>
      </text>
    </comment>
    <comment ref="C158" authorId="0">
      <text>
        <r>
          <rPr>
            <sz val="9"/>
            <rFont val="Tahoma"/>
            <charset val="134"/>
          </rPr>
          <t>Informar a vida útil estimada para o caminhão, em anos</t>
        </r>
      </text>
    </comment>
    <comment ref="C159" authorId="0">
      <text>
        <r>
          <rPr>
            <sz val="9"/>
            <rFont val="Tahoma"/>
            <charset val="134"/>
          </rPr>
          <t>Na elaboração do orçamento-base da licitação, informar 0 (zero). Na proposta da licitante, informar a idade do veículo proposto.</t>
        </r>
      </text>
    </comment>
    <comment ref="C160" authorId="0">
      <text>
        <r>
          <rPr>
            <b/>
            <sz val="9"/>
            <rFont val="Tahoma"/>
            <charset val="134"/>
          </rPr>
          <t xml:space="preserve">Informar o valor da depreciação do caminhão, adotando o valor sugerido pelo TCE ou outro valor estimado </t>
        </r>
        <r>
          <rPr>
            <sz val="9"/>
            <rFont val="Tahoma"/>
            <charset val="134"/>
          </rPr>
          <t xml:space="preserve">
</t>
        </r>
      </text>
    </comment>
    <comment ref="C163" authorId="0">
      <text>
        <r>
          <rPr>
            <sz val="9"/>
            <rFont val="Tahoma"/>
            <charset val="134"/>
          </rPr>
          <t>Informar a quantidade de caminhões compactadores do respectivo modelo</t>
        </r>
      </text>
    </comment>
    <comment ref="C169" authorId="0">
      <text>
        <r>
          <rPr>
            <b/>
            <sz val="9"/>
            <rFont val="Tahoma"/>
            <charset val="134"/>
          </rPr>
          <t>Informar a taxa de juros anual para remuneração do capital. Recomenda-se o uso da Taxa SELIC</t>
        </r>
        <r>
          <rPr>
            <sz val="9"/>
            <rFont val="Tahoma"/>
            <charset val="134"/>
          </rPr>
          <t xml:space="preserve">
</t>
        </r>
      </text>
    </comment>
    <comment ref="D180" authorId="0">
      <text>
        <r>
          <rPr>
            <sz val="9"/>
            <rFont val="Tahoma"/>
            <charset val="134"/>
          </rPr>
          <t xml:space="preserve">Informar o valor do seguro obrigatório e licenciamento anual de um caminhão
</t>
        </r>
      </text>
    </comment>
    <comment ref="D181" authorId="0">
      <text>
        <r>
          <rPr>
            <sz val="9"/>
            <rFont val="Tahoma"/>
            <charset val="134"/>
          </rPr>
          <t xml:space="preserve">Informar o valor do seguro contra terceiros de um caminhão, se houver
</t>
        </r>
      </text>
    </comment>
    <comment ref="B187" authorId="0">
      <text>
        <r>
          <rPr>
            <sz val="9"/>
            <rFont val="Tahoma"/>
            <charset val="134"/>
          </rPr>
          <t xml:space="preserve">Informar a quilometragem mensal percorrida, de acordo com o projeto básico
</t>
        </r>
      </text>
    </comment>
    <comment ref="C190" authorId="0">
      <text>
        <r>
          <rPr>
            <sz val="9"/>
            <rFont val="Tahoma"/>
            <charset val="134"/>
          </rPr>
          <t>Informar o consumo estimado do veículo em km/l</t>
        </r>
      </text>
    </comment>
    <comment ref="D190" authorId="0">
      <text>
        <r>
          <rPr>
            <sz val="9"/>
            <rFont val="Tahoma"/>
            <charset val="134"/>
          </rPr>
          <t xml:space="preserve">Informar o preço unitário do combustivel
</t>
        </r>
      </text>
    </comment>
    <comment ref="C192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92" authorId="0">
      <text>
        <r>
          <rPr>
            <sz val="9"/>
            <rFont val="Tahoma"/>
            <charset val="134"/>
          </rPr>
          <t xml:space="preserve">Informar o preço unitário do litro do óleo do motor
</t>
        </r>
      </text>
    </comment>
    <comment ref="C194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94" authorId="0">
      <text>
        <r>
          <rPr>
            <sz val="9"/>
            <rFont val="Tahoma"/>
            <charset val="134"/>
          </rPr>
          <t xml:space="preserve">Informar o preço unitário do litro do óleo da transmissão
</t>
        </r>
      </text>
    </comment>
    <comment ref="C196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96" authorId="0">
      <text>
        <r>
          <rPr>
            <sz val="9"/>
            <rFont val="Tahoma"/>
            <charset val="134"/>
          </rPr>
          <t xml:space="preserve">Informar o preço unitário do litro do óleo hidráulico
</t>
        </r>
      </text>
    </comment>
    <comment ref="C198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98" authorId="0">
      <text>
        <r>
          <rPr>
            <sz val="9"/>
            <rFont val="Tahoma"/>
            <charset val="134"/>
          </rPr>
          <t xml:space="preserve">Informar o preço unitário do litro da graxa
</t>
        </r>
      </text>
    </comment>
    <comment ref="D205" authorId="0">
      <text>
        <r>
          <rPr>
            <sz val="9"/>
            <rFont val="Tahoma"/>
            <charset val="134"/>
          </rPr>
          <t xml:space="preserve">Informar o custo de manutenção em R$/km rodado
</t>
        </r>
      </text>
    </comment>
    <comment ref="C210" authorId="0">
      <text>
        <r>
          <rPr>
            <sz val="9"/>
            <rFont val="Tahoma"/>
            <charset val="134"/>
          </rPr>
          <t>Informar a quantidade de pneus novos de 1 caminhão</t>
        </r>
      </text>
    </comment>
    <comment ref="D210" authorId="0">
      <text>
        <r>
          <rPr>
            <sz val="9"/>
            <rFont val="Tahoma"/>
            <charset val="134"/>
          </rPr>
          <t xml:space="preserve">Informar o preço unitário de cada pneu
</t>
        </r>
      </text>
    </comment>
    <comment ref="C211" authorId="0">
      <text>
        <r>
          <rPr>
            <sz val="9"/>
            <rFont val="Tahoma"/>
            <charset val="134"/>
          </rPr>
          <t>Informar o número de recapagens por pneu</t>
        </r>
      </text>
    </comment>
    <comment ref="D212" authorId="0">
      <text>
        <r>
          <rPr>
            <sz val="9"/>
            <rFont val="Tahoma"/>
            <charset val="134"/>
          </rPr>
          <t xml:space="preserve">Informar o preço unitário de cada recapagem
</t>
        </r>
      </text>
    </comment>
    <comment ref="C213" authorId="0">
      <text>
        <r>
          <rPr>
            <sz val="9"/>
            <rFont val="Tahoma"/>
            <charset val="134"/>
          </rPr>
          <t xml:space="preserve">Informar a durabilidade média dos pneus considerando as recapagens, em km
</t>
        </r>
      </text>
    </comment>
    <comment ref="D221" authorId="0">
      <text>
        <r>
          <rPr>
            <sz val="9"/>
            <rFont val="Tahoma"/>
            <charset val="134"/>
          </rPr>
          <t>Informar o preço unitário do chassis do caminhão de coleta</t>
        </r>
      </text>
    </comment>
    <comment ref="C222" authorId="0">
      <text>
        <r>
          <rPr>
            <sz val="9"/>
            <rFont val="Tahoma"/>
            <charset val="134"/>
          </rPr>
          <t>Informar a vida útil estimada para o caminhão, em anos</t>
        </r>
      </text>
    </comment>
    <comment ref="C223" authorId="0">
      <text>
        <r>
          <rPr>
            <sz val="9"/>
            <rFont val="Tahoma"/>
            <charset val="134"/>
          </rPr>
          <t>Na elaboração do orçamento-base da licitação, informar 0 (zero). Na proposta da licitante, informar a idade do veículo proposto.</t>
        </r>
      </text>
    </comment>
    <comment ref="C224" authorId="0">
      <text>
        <r>
          <rPr>
            <b/>
            <sz val="9"/>
            <rFont val="Tahoma"/>
            <charset val="134"/>
          </rPr>
          <t xml:space="preserve">Informar o valor da depreciação do caminhão, adotando o valor sugerido pelo TCE ou outro valor estimado </t>
        </r>
        <r>
          <rPr>
            <sz val="9"/>
            <rFont val="Tahoma"/>
            <charset val="134"/>
          </rPr>
          <t xml:space="preserve">
</t>
        </r>
      </text>
    </comment>
    <comment ref="C227" authorId="0">
      <text>
        <r>
          <rPr>
            <sz val="9"/>
            <rFont val="Tahoma"/>
            <charset val="134"/>
          </rPr>
          <t>Informar a quantidade de caminhões compactadores do respectivo modelo</t>
        </r>
      </text>
    </comment>
    <comment ref="C233" authorId="0">
      <text>
        <r>
          <rPr>
            <b/>
            <sz val="9"/>
            <rFont val="Tahoma"/>
            <charset val="134"/>
          </rPr>
          <t>Informar a taxa de juros anual para remuneração do capital. Recomenda-se o uso da Taxa SELIC</t>
        </r>
        <r>
          <rPr>
            <sz val="9"/>
            <rFont val="Tahoma"/>
            <charset val="134"/>
          </rPr>
          <t xml:space="preserve">
</t>
        </r>
      </text>
    </comment>
    <comment ref="C244" authorId="0">
      <text>
        <r>
          <rPr>
            <b/>
            <sz val="9"/>
            <rFont val="Tahoma"/>
            <charset val="134"/>
          </rPr>
          <t>Informar a taxa de juros anual para remuneração do capital. Recomenda-se o uso da Taxa SELIC</t>
        </r>
        <r>
          <rPr>
            <sz val="9"/>
            <rFont val="Tahoma"/>
            <charset val="134"/>
          </rPr>
          <t xml:space="preserve">
</t>
        </r>
      </text>
    </comment>
    <comment ref="C254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4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55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5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56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6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267" authorId="0">
      <text>
        <r>
          <rPr>
            <sz val="9"/>
            <rFont val="Tahoma"/>
            <charset val="134"/>
          </rPr>
          <t>Preencher a aba 4.BDI</t>
        </r>
      </text>
    </comment>
  </commentList>
</comments>
</file>

<file path=xl/comments4.xml><?xml version="1.0" encoding="utf-8"?>
<comments xmlns="http://schemas.openxmlformats.org/spreadsheetml/2006/main">
  <authors>
    <author>Clauber Bridi</author>
  </authors>
  <commentList>
    <comment ref="A11" authorId="0">
      <text>
        <r>
          <rPr>
            <sz val="9"/>
            <rFont val="Tahoma"/>
            <charset val="134"/>
          </rPr>
          <t xml:space="preserve">Qualquer custo previsto no edital e não contemplado nesta planilha modelo deverá ser devidamente incluído
</t>
        </r>
      </text>
    </comment>
    <comment ref="B43" authorId="0">
      <text>
        <r>
          <rPr>
            <b/>
            <sz val="9"/>
            <rFont val="Tahoma"/>
            <charset val="134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rFont val="Tahoma"/>
            <charset val="134"/>
          </rPr>
          <t xml:space="preserve">
</t>
        </r>
      </text>
    </comment>
    <comment ref="D49" authorId="0">
      <text>
        <r>
          <rPr>
            <sz val="9"/>
            <rFont val="Tahoma"/>
            <charset val="134"/>
          </rPr>
          <t>Informar o Piso da categoria fixado na Convenção Coletiva</t>
        </r>
      </text>
    </comment>
    <comment ref="D50" authorId="0">
      <text>
        <r>
          <rPr>
            <sz val="9"/>
            <rFont val="Tahoma"/>
            <charset val="134"/>
          </rPr>
          <t>Informar o valor do salário Mínimo Nacional</t>
        </r>
      </text>
    </comment>
    <comment ref="C51" authorId="0">
      <text>
        <r>
          <rPr>
            <sz val="9"/>
            <rFont val="Tahoma"/>
            <charset val="134"/>
          </rPr>
          <t>Informar o número de horas extras trabalhadas em horário diurno nos domingos e feriados</t>
        </r>
      </text>
    </comment>
    <comment ref="C52" authorId="0">
      <text>
        <r>
          <rPr>
            <sz val="9"/>
            <rFont val="Tahoma"/>
            <charset val="134"/>
          </rPr>
          <t xml:space="preserve">Informar o número de horas extras trabalhadas em horário diurno de segunda a sábado 
</t>
        </r>
      </text>
    </comment>
    <comment ref="A53" authorId="0">
      <text>
        <r>
          <rPr>
            <sz val="9"/>
            <rFont val="Tahoma"/>
            <charset val="134"/>
          </rPr>
          <t xml:space="preserve">Cálculo do descanso semanal remunerado incidente sobre as horas extras habitualmente prestadas. Considerada a média de 63 feriados + domingos e 302 dias trabalhados por ano
</t>
        </r>
      </text>
    </comment>
    <comment ref="C54" authorId="0">
      <text>
        <r>
          <rPr>
            <sz val="9"/>
            <rFont val="Tahoma"/>
            <charset val="134"/>
          </rPr>
          <t xml:space="preserve">Informar 1 se a base de cálculo for o Salário Mínimo Nacional; Informar 2 se a base de cálculo for o Piso da Categoria; 
</t>
        </r>
      </text>
    </comment>
    <comment ref="C55" authorId="0">
      <text>
        <r>
          <rPr>
            <sz val="9"/>
            <rFont val="Tahoma"/>
            <charset val="134"/>
          </rPr>
          <t>Percentual estabelecido nas Normas de Segurança de Trabalho ou pelo laudo de responsável técnico devidamente habilitado</t>
        </r>
      </text>
    </comment>
    <comment ref="C57" authorId="0">
      <text>
        <r>
          <rPr>
            <sz val="9"/>
            <rFont val="Tahoma"/>
            <charset val="134"/>
          </rPr>
          <t xml:space="preserve">Preencher a planilha Encargos Sociais e CAGED </t>
        </r>
      </text>
    </comment>
    <comment ref="C59" authorId="0">
      <text>
        <r>
          <rPr>
            <sz val="9"/>
            <rFont val="Tahoma"/>
            <charset val="134"/>
          </rPr>
          <t>Informar a quantidade de trabalhadores na função</t>
        </r>
      </text>
    </comment>
    <comment ref="D65" authorId="0">
      <text>
        <r>
          <rPr>
            <sz val="9"/>
            <rFont val="Tahoma"/>
            <charset val="134"/>
          </rPr>
          <t>Informar o valor unitário do VT no município</t>
        </r>
      </text>
    </comment>
    <comment ref="C66" authorId="0">
      <text>
        <r>
          <rPr>
            <sz val="9"/>
            <rFont val="Tahoma"/>
            <charset val="134"/>
          </rPr>
          <t>Informar o número médio de dias trabalhados por mês</t>
        </r>
      </text>
    </comment>
    <comment ref="D67" authorId="0">
      <text>
        <r>
          <rPr>
            <sz val="9"/>
            <rFont val="Tahoma"/>
            <charset val="134"/>
          </rPr>
          <t xml:space="preserve">Valor Unitário considerando o desconto legal de até 6% do salário
</t>
        </r>
      </text>
    </comment>
    <comment ref="D72" authorId="0">
      <text>
        <r>
          <rPr>
            <sz val="9"/>
            <rFont val="Tahoma"/>
            <charset val="134"/>
          </rPr>
          <t>Informar o valor unitário diário do vale refeição conforme Convenção Coletiva da categoria</t>
        </r>
      </text>
    </comment>
    <comment ref="D77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D82" authorId="0">
      <text>
        <r>
          <rPr>
            <sz val="9"/>
            <rFont val="Tahoma"/>
            <charset val="134"/>
          </rPr>
          <t>Informar o valor mensal do auxilio alimentação conforme Convenção Coletiva da categoria</t>
        </r>
      </text>
    </comment>
    <comment ref="C92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92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93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93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94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94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95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95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96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96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C97" authorId="0">
      <text>
        <r>
          <rPr>
            <sz val="9"/>
            <rFont val="Tahoma"/>
            <charset val="134"/>
          </rPr>
          <t xml:space="preserve">Informar a durabilidade estimada em meses, para cada EPI
</t>
        </r>
      </text>
    </comment>
    <comment ref="D97" authorId="0">
      <text>
        <r>
          <rPr>
            <sz val="9"/>
            <rFont val="Tahoma"/>
            <charset val="134"/>
          </rPr>
          <t>Informar o valor unitário estimado para aquisição de cada EPI</t>
        </r>
      </text>
    </comment>
    <comment ref="D98" authorId="0">
      <text>
        <r>
          <rPr>
            <sz val="9"/>
            <rFont val="Tahoma"/>
            <charset val="134"/>
          </rPr>
          <t>Informar o valor mensal de higienização de uniforme para 1 funcionário</t>
        </r>
      </text>
    </comment>
    <comment ref="D111" authorId="0">
      <text>
        <r>
          <rPr>
            <sz val="9"/>
            <rFont val="Tahoma"/>
            <charset val="134"/>
          </rPr>
          <t>Informar o preço unitário do chassis do caminhão de coleta</t>
        </r>
      </text>
    </comment>
    <comment ref="C112" authorId="0">
      <text>
        <r>
          <rPr>
            <sz val="9"/>
            <rFont val="Tahoma"/>
            <charset val="134"/>
          </rPr>
          <t>Informar a vida útil estimada para o caminhão, em anos</t>
        </r>
      </text>
    </comment>
    <comment ref="C113" authorId="0">
      <text>
        <r>
          <rPr>
            <sz val="9"/>
            <rFont val="Tahoma"/>
            <charset val="134"/>
          </rPr>
          <t>Na elaboração do orçamento-base da licitação, informar 0 (zero). Na proposta da licitante, informar a idade do veículo proposto.</t>
        </r>
      </text>
    </comment>
    <comment ref="C114" authorId="0">
      <text>
        <r>
          <rPr>
            <b/>
            <sz val="9"/>
            <rFont val="Tahoma"/>
            <charset val="134"/>
          </rPr>
          <t xml:space="preserve">Informar o valor da depreciação do caminhão, adotando o valor sugerido pelo TCE ou outro valor estimado </t>
        </r>
        <r>
          <rPr>
            <sz val="9"/>
            <rFont val="Tahoma"/>
            <charset val="134"/>
          </rPr>
          <t xml:space="preserve">
</t>
        </r>
      </text>
    </comment>
    <comment ref="D116" authorId="0">
      <text>
        <r>
          <rPr>
            <sz val="9"/>
            <rFont val="Tahoma"/>
            <charset val="134"/>
          </rPr>
          <t xml:space="preserve">Informar o preço unitário do equipamento compactador
</t>
        </r>
      </text>
    </comment>
    <comment ref="C117" authorId="0">
      <text>
        <r>
          <rPr>
            <sz val="9"/>
            <rFont val="Tahoma"/>
            <charset val="134"/>
          </rPr>
          <t>Informar a vida útil estimada para o compactador, em anos</t>
        </r>
      </text>
    </comment>
    <comment ref="C118" authorId="0">
      <text>
        <r>
          <rPr>
            <sz val="9"/>
            <rFont val="Tahoma"/>
            <charset val="134"/>
          </rPr>
          <t>Na elaboração do orçamento-base da licitação, informar 0 (zero). Na proposta da licitante, informar a idade do compactador proposto.</t>
        </r>
      </text>
    </comment>
    <comment ref="C119" authorId="0">
      <text>
        <r>
          <rPr>
            <b/>
            <sz val="9"/>
            <rFont val="Tahoma"/>
            <charset val="134"/>
          </rPr>
          <t xml:space="preserve">Informar o valor da depreciação do compactador, adotando o valor sugerido pelo TCE ou outro valor estimado </t>
        </r>
        <r>
          <rPr>
            <sz val="9"/>
            <rFont val="Tahoma"/>
            <charset val="134"/>
          </rPr>
          <t xml:space="preserve">
</t>
        </r>
      </text>
    </comment>
    <comment ref="C122" authorId="0">
      <text>
        <r>
          <rPr>
            <sz val="9"/>
            <rFont val="Tahoma"/>
            <charset val="134"/>
          </rPr>
          <t>Informar a quantidade de caminhões compactadores do respectivo modelo</t>
        </r>
      </text>
    </comment>
    <comment ref="C128" authorId="0">
      <text>
        <r>
          <rPr>
            <b/>
            <sz val="9"/>
            <rFont val="Tahoma"/>
            <charset val="134"/>
          </rPr>
          <t>Informar a taxa de juros anual para remuneração do capital. Recomenda-se o uso da Taxa SELIC</t>
        </r>
        <r>
          <rPr>
            <sz val="9"/>
            <rFont val="Tahoma"/>
            <charset val="134"/>
          </rPr>
          <t xml:space="preserve">
</t>
        </r>
      </text>
    </comment>
    <comment ref="D143" authorId="0">
      <text>
        <r>
          <rPr>
            <sz val="9"/>
            <rFont val="Tahoma"/>
            <charset val="134"/>
          </rPr>
          <t xml:space="preserve">Informar o valor do seguro obrigatório e licenciamento anual de um caminhão
</t>
        </r>
      </text>
    </comment>
    <comment ref="D144" authorId="0">
      <text>
        <r>
          <rPr>
            <sz val="9"/>
            <rFont val="Tahoma"/>
            <charset val="134"/>
          </rPr>
          <t xml:space="preserve">Informar o valor do seguro contra terceiros de um caminhão, se houver
</t>
        </r>
      </text>
    </comment>
    <comment ref="B150" authorId="0">
      <text>
        <r>
          <rPr>
            <sz val="9"/>
            <rFont val="Tahoma"/>
            <charset val="134"/>
          </rPr>
          <t xml:space="preserve">Informar a quilometragem mensal percorrida, de acordo com o projeto básico
</t>
        </r>
      </text>
    </comment>
    <comment ref="C153" authorId="0">
      <text>
        <r>
          <rPr>
            <sz val="9"/>
            <rFont val="Tahoma"/>
            <charset val="134"/>
          </rPr>
          <t>Informar o consumo estimado do veículo em km/l</t>
        </r>
      </text>
    </comment>
    <comment ref="D153" authorId="0">
      <text>
        <r>
          <rPr>
            <sz val="9"/>
            <rFont val="Tahoma"/>
            <charset val="134"/>
          </rPr>
          <t xml:space="preserve">Informar o preço unitário do combustivel
</t>
        </r>
      </text>
    </comment>
    <comment ref="C157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57" authorId="0">
      <text>
        <r>
          <rPr>
            <sz val="9"/>
            <rFont val="Tahoma"/>
            <charset val="134"/>
          </rPr>
          <t xml:space="preserve">Informar o preço unitário do litro do óleo do motor
</t>
        </r>
      </text>
    </comment>
    <comment ref="C159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59" authorId="0">
      <text>
        <r>
          <rPr>
            <sz val="9"/>
            <rFont val="Tahoma"/>
            <charset val="134"/>
          </rPr>
          <t xml:space="preserve">Informar o preço unitário do litro do óleo da transmissão
</t>
        </r>
      </text>
    </comment>
    <comment ref="C161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61" authorId="0">
      <text>
        <r>
          <rPr>
            <sz val="9"/>
            <rFont val="Tahoma"/>
            <charset val="134"/>
          </rPr>
          <t xml:space="preserve">Informar o preço unitário do litro do óleo hidráulico
</t>
        </r>
      </text>
    </comment>
    <comment ref="C163" authorId="0">
      <text>
        <r>
          <rPr>
            <sz val="9"/>
            <rFont val="Tahoma"/>
            <charset val="134"/>
          </rPr>
          <t>Informar o consumo de óleo do motor a cada 1000km</t>
        </r>
      </text>
    </comment>
    <comment ref="D163" authorId="0">
      <text>
        <r>
          <rPr>
            <sz val="9"/>
            <rFont val="Tahoma"/>
            <charset val="134"/>
          </rPr>
          <t xml:space="preserve">Informar o preço unitário do litro da graxa
</t>
        </r>
      </text>
    </comment>
    <comment ref="D170" authorId="0">
      <text>
        <r>
          <rPr>
            <sz val="9"/>
            <rFont val="Tahoma"/>
            <charset val="134"/>
          </rPr>
          <t xml:space="preserve">Informar o custo de manutenção em R$/km rodado
</t>
        </r>
      </text>
    </comment>
    <comment ref="C175" authorId="0">
      <text>
        <r>
          <rPr>
            <sz val="9"/>
            <rFont val="Tahoma"/>
            <charset val="134"/>
          </rPr>
          <t>Informar a quantidade de pneus novos de 1 caminhão</t>
        </r>
      </text>
    </comment>
    <comment ref="D175" authorId="0">
      <text>
        <r>
          <rPr>
            <sz val="9"/>
            <rFont val="Tahoma"/>
            <charset val="134"/>
          </rPr>
          <t xml:space="preserve">Informar o preço unitário de cada pneu
</t>
        </r>
      </text>
    </comment>
    <comment ref="C176" authorId="0">
      <text>
        <r>
          <rPr>
            <sz val="9"/>
            <rFont val="Tahoma"/>
            <charset val="134"/>
          </rPr>
          <t>Informar o número de recapagens por pneu</t>
        </r>
      </text>
    </comment>
    <comment ref="D177" authorId="0">
      <text>
        <r>
          <rPr>
            <sz val="9"/>
            <rFont val="Tahoma"/>
            <charset val="134"/>
          </rPr>
          <t xml:space="preserve">Informar o preço unitário de cada recapagem
</t>
        </r>
      </text>
    </comment>
    <comment ref="C178" authorId="0">
      <text>
        <r>
          <rPr>
            <sz val="9"/>
            <rFont val="Tahoma"/>
            <charset val="134"/>
          </rPr>
          <t xml:space="preserve">Informar a durabilidade média dos pneus considerando as recapagens, em km
</t>
        </r>
      </text>
    </comment>
    <comment ref="C187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87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188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88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189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89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190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0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C191" authorId="0">
      <text>
        <r>
          <rPr>
            <sz val="9"/>
            <rFont val="Tahoma"/>
            <charset val="134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1" authorId="0">
      <text>
        <r>
          <rPr>
            <sz val="9"/>
            <rFont val="Tahoma"/>
            <charset val="134"/>
          </rPr>
          <t>Informar o valor unitário estimado para aquisição de cada material</t>
        </r>
      </text>
    </comment>
    <comment ref="A194" authorId="0">
      <text>
        <r>
          <rPr>
            <b/>
            <sz val="9"/>
            <rFont val="Tahoma"/>
            <charset val="134"/>
          </rPr>
          <t>Especificar somente quando for exigido no Projeto Básico</t>
        </r>
        <r>
          <rPr>
            <sz val="9"/>
            <rFont val="Tahoma"/>
            <charset val="134"/>
          </rPr>
          <t xml:space="preserve">
</t>
        </r>
      </text>
    </comment>
    <comment ref="D197" authorId="0">
      <text>
        <r>
          <rPr>
            <sz val="9"/>
            <rFont val="Tahoma"/>
            <charset val="134"/>
          </rPr>
          <t>Informar o valor total para instalação do equipamento de monitoramento da frota, se houver</t>
        </r>
      </text>
    </comment>
    <comment ref="D199" authorId="0">
      <text>
        <r>
          <rPr>
            <sz val="9"/>
            <rFont val="Tahoma"/>
            <charset val="134"/>
          </rPr>
          <t>Informar o valor unitário mensal para manutenção dos equipamentos de monitoramento</t>
        </r>
      </text>
    </comment>
    <comment ref="C211" authorId="0">
      <text>
        <r>
          <rPr>
            <sz val="9"/>
            <rFont val="Tahoma"/>
            <charset val="134"/>
          </rPr>
          <t>Preencher a aba 4.BDI</t>
        </r>
      </text>
    </comment>
  </commentList>
</comments>
</file>

<file path=xl/comments5.xml><?xml version="1.0" encoding="utf-8"?>
<comments xmlns="http://schemas.openxmlformats.org/spreadsheetml/2006/main">
  <authors>
    <author>Clauber Bridi</author>
  </authors>
  <commentList>
    <comment ref="A11" authorId="0">
      <text>
        <r>
          <rPr>
            <sz val="9"/>
            <rFont val="Tahoma"/>
            <charset val="134"/>
          </rPr>
          <t xml:space="preserve">Qualquer custo previsto no edital e não contemplado nesta planilha modelo deverá ser devidamente incluído
</t>
        </r>
      </text>
    </comment>
    <comment ref="D21" authorId="0">
      <text>
        <r>
          <rPr>
            <sz val="9"/>
            <rFont val="Tahoma"/>
            <charset val="134"/>
          </rPr>
          <t>Informar o Piso da categoria fixado na Convenção Coletiva</t>
        </r>
      </text>
    </comment>
    <comment ref="C30" authorId="0">
      <text>
        <r>
          <rPr>
            <sz val="9"/>
            <rFont val="Tahoma"/>
            <charset val="134"/>
          </rPr>
          <t>Preencher a aba 4.BDI</t>
        </r>
      </text>
    </comment>
  </commentList>
</comments>
</file>

<file path=xl/comments6.xml><?xml version="1.0" encoding="utf-8"?>
<comments xmlns="http://schemas.openxmlformats.org/spreadsheetml/2006/main">
  <authors>
    <author>Jorge Mesquita</author>
  </authors>
  <commentList>
    <comment ref="G40" authorId="0">
      <text>
        <r>
          <rPr>
            <b/>
            <sz val="9"/>
            <rFont val="Tahoma"/>
            <charset val="134"/>
          </rPr>
          <t>Jorge Mesquita:</t>
        </r>
        <r>
          <rPr>
            <sz val="9"/>
            <rFont val="Tahoma"/>
            <charset val="134"/>
          </rPr>
          <t xml:space="preserve">
Criar um tipo de arredondamento.
</t>
        </r>
      </text>
    </comment>
  </commentList>
</comments>
</file>

<file path=xl/comments7.xml><?xml version="1.0" encoding="utf-8"?>
<comments xmlns="http://schemas.openxmlformats.org/spreadsheetml/2006/main">
  <authors>
    <author>Clauber Bridi</author>
  </authors>
  <commentList>
    <comment ref="C10" authorId="0">
      <text>
        <r>
          <rPr>
            <b/>
            <sz val="9"/>
            <rFont val="Tahoma"/>
            <charset val="134"/>
          </rPr>
          <t>Informar o % de Administração Central estimado</t>
        </r>
        <r>
          <rPr>
            <sz val="9"/>
            <rFont val="Tahoma"/>
            <charset val="134"/>
          </rPr>
          <t xml:space="preserve">
</t>
        </r>
      </text>
    </comment>
    <comment ref="C11" authorId="0">
      <text>
        <r>
          <rPr>
            <b/>
            <sz val="9"/>
            <rFont val="Tahoma"/>
            <charset val="134"/>
          </rPr>
          <t>Informar o % de Seguros, Riscos e Garantia estimado</t>
        </r>
        <r>
          <rPr>
            <sz val="9"/>
            <rFont val="Tahoma"/>
            <charset val="134"/>
          </rPr>
          <t xml:space="preserve">
</t>
        </r>
      </text>
    </comment>
    <comment ref="C12" authorId="0">
      <text>
        <r>
          <rPr>
            <b/>
            <sz val="9"/>
            <rFont val="Tahoma"/>
            <charset val="134"/>
          </rPr>
          <t>Informar o % de Lucro estimado</t>
        </r>
        <r>
          <rPr>
            <sz val="9"/>
            <rFont val="Tahoma"/>
            <charset val="134"/>
          </rPr>
          <t xml:space="preserve">
</t>
        </r>
      </text>
    </comment>
    <comment ref="E13" authorId="0">
      <text>
        <r>
          <rPr>
            <b/>
            <sz val="9"/>
            <rFont val="Tahoma"/>
            <charset val="134"/>
          </rPr>
          <t>Informar o valor anual da taxa financeira, em percentual. Admite-se utilizar a SELIC</t>
        </r>
      </text>
    </comment>
    <comment ref="C14" authorId="0">
      <text>
        <r>
          <rPr>
            <b/>
            <sz val="9"/>
            <rFont val="Tahoma"/>
            <charset val="134"/>
          </rPr>
          <t>Informar o percentual de ISS, de acordo com a legislação tributária do município onde serão prestados os serviços. De 2% até o limite de 5%.</t>
        </r>
        <r>
          <rPr>
            <sz val="9"/>
            <rFont val="Tahoma"/>
            <charset val="134"/>
          </rPr>
          <t xml:space="preserve">
</t>
        </r>
      </text>
    </comment>
    <comment ref="E14" authorId="0">
      <text>
        <r>
          <rPr>
            <b/>
            <sz val="9"/>
            <rFont val="Tahoma"/>
            <charset val="134"/>
          </rPr>
          <t>Informar a média de dias úteis entre data de pagamento prevista no contrato e a data final do período de adimplemento da parcela</t>
        </r>
        <r>
          <rPr>
            <sz val="9"/>
            <rFont val="Tahoma"/>
            <charset val="134"/>
          </rPr>
          <t xml:space="preserve">
</t>
        </r>
      </text>
    </comment>
    <comment ref="C15" authorId="0">
      <text>
        <r>
          <rPr>
            <b/>
            <sz val="9"/>
            <rFont val="Tahoma"/>
            <charset val="134"/>
          </rPr>
          <t xml:space="preserve">Informar o valor estimado de PIS/COFINS. </t>
        </r>
        <r>
          <rPr>
            <sz val="9"/>
            <rFont val="Tahoma"/>
            <charset val="134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8.xml><?xml version="1.0" encoding="utf-8"?>
<comments xmlns="http://schemas.openxmlformats.org/spreadsheetml/2006/main">
  <authors>
    <author>cbridi</author>
    <author>Clauber Bridi</author>
    <author>Omar</author>
  </authors>
  <commentList>
    <comment ref="C9" authorId="0">
      <text>
        <r>
          <rPr>
            <sz val="8"/>
            <rFont val="Tahoma"/>
            <charset val="134"/>
          </rPr>
          <t>Informar a população do município a ser atendida</t>
        </r>
      </text>
    </comment>
    <comment ref="C10" authorId="1">
      <text>
        <r>
          <rPr>
            <b/>
            <sz val="9"/>
            <rFont val="Tahoma"/>
            <charset val="134"/>
          </rPr>
          <t>Caso o município possua informações de pesagem, ajustar com o valor da geração média per capita realizada nos últimos 12 meses</t>
        </r>
      </text>
    </comment>
    <comment ref="C11" authorId="2">
      <text>
        <r>
          <rPr>
            <sz val="9"/>
            <rFont val="Tahoma"/>
            <charset val="134"/>
          </rPr>
          <t>retorna a geração diária a ser recolhida</t>
        </r>
      </text>
    </comment>
    <comment ref="C13" authorId="0">
      <text>
        <r>
          <rPr>
            <b/>
            <sz val="8"/>
            <rFont val="Tahoma"/>
            <charset val="1"/>
          </rPr>
          <t>Informe o número de dias de coleta por semana</t>
        </r>
      </text>
    </comment>
    <comment ref="C16" authorId="0">
      <text>
        <r>
          <rPr>
            <sz val="8"/>
            <rFont val="Tahoma"/>
            <charset val="134"/>
          </rPr>
          <t>Informar 1 para caminhão toco; Informar 2 para caminhão truck</t>
        </r>
        <r>
          <rPr>
            <b/>
            <sz val="8"/>
            <rFont val="Tahoma"/>
            <charset val="134"/>
          </rPr>
          <t xml:space="preserve"> </t>
        </r>
      </text>
    </comment>
    <comment ref="C17" authorId="0">
      <text>
        <r>
          <rPr>
            <sz val="8"/>
            <rFont val="Tahoma"/>
            <charset val="134"/>
          </rPr>
          <t>Informar a capacidade do compactador em m³</t>
        </r>
      </text>
    </comment>
    <comment ref="C20" authorId="1">
      <text>
        <r>
          <rPr>
            <sz val="8"/>
            <rFont val="Tahoma"/>
            <charset val="134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<sst xmlns="http://schemas.openxmlformats.org/spreadsheetml/2006/main" count="1388" uniqueCount="400">
  <si>
    <t xml:space="preserve">1. Coleta de Resíduos Sólidos </t>
  </si>
  <si>
    <t>Planilha de Composição de Custos</t>
  </si>
  <si>
    <t>Orçamento Sintético</t>
  </si>
  <si>
    <t>Descrição do Item</t>
  </si>
  <si>
    <t>Custo (R$/mês)</t>
  </si>
  <si>
    <t>%</t>
  </si>
  <si>
    <t>1. Coleta Domiciliar</t>
  </si>
  <si>
    <t>2. Triagem e Transbordo</t>
  </si>
  <si>
    <t>3. Transporte</t>
  </si>
  <si>
    <t>4. Destinação final</t>
  </si>
  <si>
    <t>PREÇO TOTAL MENSAL (R$/mês)</t>
  </si>
  <si>
    <t>Orientações para preenchimento:</t>
  </si>
  <si>
    <t>1. Esta planilha é somente um modelo-base. Qualquer custo previsto no edital e não contemplado nesta planilha deverá ser devidamente incluído</t>
  </si>
  <si>
    <t>2. Preencher somente células em amarelo</t>
  </si>
  <si>
    <t>3. As células azuis deverão ter seus valores preenchidos em outra planilha do arquivo.</t>
  </si>
  <si>
    <t>Planilha de Composição de Custos COLETA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</si>
  <si>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</si>
  <si>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</si>
  <si>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</si>
  <si>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</si>
  <si>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</si>
  <si>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</si>
  <si>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</si>
  <si>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</si>
  <si>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Turno Dia</t>
  </si>
  <si>
    <t>Discriminação</t>
  </si>
  <si>
    <t>Unidade</t>
  </si>
  <si>
    <t>Custo unitário</t>
  </si>
  <si>
    <t>Subtotal</t>
  </si>
  <si>
    <r>
      <rPr>
        <b/>
        <sz val="9"/>
        <rFont val="Arial"/>
        <charset val="134"/>
      </rPr>
      <t xml:space="preserve">Total </t>
    </r>
    <r>
      <rPr>
        <b/>
        <u/>
        <sz val="9"/>
        <rFont val="Arial"/>
        <charset val="134"/>
      </rPr>
      <t>(R$)</t>
    </r>
  </si>
  <si>
    <t>Piso da categoria</t>
  </si>
  <si>
    <t>mês</t>
  </si>
  <si>
    <t>Horas Extras (100%)</t>
  </si>
  <si>
    <t>hora</t>
  </si>
  <si>
    <t>Excluir esta linha caso a contratação não tenha previsão de horas extras 100% explícita no edital</t>
  </si>
  <si>
    <t>Horas Extras (50%)</t>
  </si>
  <si>
    <t>Excluir esta linha caso a contratação não tenha previsão de horas extras 50% explícita no edital</t>
  </si>
  <si>
    <t>Descanso Semanal Remunerado (DSR) - hora extra</t>
  </si>
  <si>
    <t>R$</t>
  </si>
  <si>
    <t>Excluir esta linha caso a contratação não tenha previsão de horas extras explícita no edital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</si>
  <si>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</si>
  <si>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</si>
  <si>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</si>
  <si>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</si>
  <si>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</si>
  <si>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</si>
  <si>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</si>
  <si>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1.2. Coletor Turno Noite</t>
  </si>
  <si>
    <t>Adicional Noturno</t>
  </si>
  <si>
    <t>horas trabalhadas</t>
  </si>
  <si>
    <t>hora contabilizada</t>
  </si>
  <si>
    <t>Horas Extras Noturnas (100%)</t>
  </si>
  <si>
    <t>Excluir esta linha caso a contratação não tenha previsão de horas extras noturnas 100% explícita no edital</t>
  </si>
  <si>
    <t>Horas Extras Noturnas (50%)</t>
  </si>
  <si>
    <t>Excluir esta linha caso a contratação não tenha previsão de horas extras noturnas 50% explícita no edital</t>
  </si>
  <si>
    <t>1.3. Motorista Turno do Dia</t>
  </si>
  <si>
    <t>Piso da categoria (1)</t>
  </si>
  <si>
    <t>Salário mínimo nacional (2)</t>
  </si>
  <si>
    <t>Base de cálculo da Insalubridade</t>
  </si>
  <si>
    <t>Total por Motorista</t>
  </si>
  <si>
    <t>1.4. Motorista Turno Noite</t>
  </si>
  <si>
    <t>Salário mínimo nacional</t>
  </si>
  <si>
    <t>1.5. Vale Transporte</t>
  </si>
  <si>
    <t>Vale Transporte</t>
  </si>
  <si>
    <t>Dias Trabalhados por mês</t>
  </si>
  <si>
    <t>dia</t>
  </si>
  <si>
    <t>Coletor</t>
  </si>
  <si>
    <t>vale</t>
  </si>
  <si>
    <t>Motorista</t>
  </si>
  <si>
    <t>1.6. Vale-refeição (diário)</t>
  </si>
  <si>
    <t>unidade</t>
  </si>
  <si>
    <t>Motorista (Almoço - conforme convenção coletiva)</t>
  </si>
  <si>
    <t>1.7. Auxílio Alimentação (mensal)</t>
  </si>
  <si>
    <t>1.7. Auxílio Lanche (mensal)</t>
  </si>
  <si>
    <t>1.7. Outros benefícios (mensal) de acordo com disposto em convenção coletiva</t>
  </si>
  <si>
    <t>Coletor - Plano Benefício Família/Contribuição Patronal</t>
  </si>
  <si>
    <t>Motorista - Abono Indenizatório/Contribuição Patronal</t>
  </si>
  <si>
    <t>Custo Mensal com Mão-de-obra (R$/mês)</t>
  </si>
  <si>
    <t>2. Uniformes e Equipamentos de Proteção Individual</t>
  </si>
  <si>
    <t>2.1. Uniformes e EPIs para Coletor</t>
  </si>
  <si>
    <t>Durabilidade (meses)</t>
  </si>
  <si>
    <t>Jaqueta com reflexivo (NBR 15.292)</t>
  </si>
  <si>
    <t>Calça</t>
  </si>
  <si>
    <t>Camiseta</t>
  </si>
  <si>
    <t>Boné</t>
  </si>
  <si>
    <t>Botina de segurança c/ palmilha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</si>
  <si>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</si>
  <si>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</si>
  <si>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</si>
  <si>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</si>
  <si>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</si>
  <si>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</si>
  <si>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</si>
  <si>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</si>
  <si>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</si>
  <si>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</si>
  <si>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t>Custo Mensal com Uniformes e EPIs (R$/mês)</t>
  </si>
  <si>
    <t>3. Veículos e Equipamentos</t>
  </si>
  <si>
    <t>3.1. Veículo Coletor Compactador 15 m³</t>
  </si>
  <si>
    <t>3.1.1. Depreciação</t>
  </si>
  <si>
    <t>Custo de aquisição do chassis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</si>
  <si>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</si>
  <si>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</si>
  <si>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</si>
  <si>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</si>
  <si>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</si>
  <si>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</si>
  <si>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</si>
  <si>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</si>
  <si>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</si>
  <si>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</si>
  <si>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</si>
  <si>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</si>
  <si>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3.1.2. Remuneração do Capital</t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</si>
  <si>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</si>
  <si>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</si>
  <si>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</si>
  <si>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</si>
  <si>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</si>
  <si>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</si>
  <si>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</si>
  <si>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</si>
  <si>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</si>
  <si>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</si>
  <si>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</si>
  <si>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</si>
  <si>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</si>
  <si>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</si>
  <si>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</si>
  <si>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</si>
  <si>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</si>
  <si>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t>Custo de óleo diesel / km rodado</t>
  </si>
  <si>
    <t>km/l</t>
  </si>
  <si>
    <t>Custo mensal com óleo diesel</t>
  </si>
  <si>
    <t>km</t>
  </si>
  <si>
    <t>Custo de Arla / km rodados</t>
  </si>
  <si>
    <t>Custo mensal com Arla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</si>
  <si>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</si>
  <si>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</si>
  <si>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</si>
  <si>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</si>
  <si>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</si>
  <si>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</si>
  <si>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</si>
  <si>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</si>
  <si>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</si>
  <si>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</si>
  <si>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</si>
  <si>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</si>
  <si>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3.1.5. Manutenção</t>
  </si>
  <si>
    <t>Custo de manutenção dos caminhões</t>
  </si>
  <si>
    <t>3.1.6. Pneus</t>
  </si>
  <si>
    <t>Custo do jogo de pneus 275/80 R22,5"</t>
  </si>
  <si>
    <t>Número de recapagens por pneu</t>
  </si>
  <si>
    <t>Custo de recapagem</t>
  </si>
  <si>
    <r>
      <rPr>
        <sz val="10"/>
        <rFont val="Arial"/>
        <charset val="134"/>
      </rPr>
      <t xml:space="preserve">Custo jg. compl. + </t>
    </r>
    <r>
      <rPr>
        <sz val="10"/>
        <color rgb="FFFF0000"/>
        <rFont val="Arial"/>
        <charset val="134"/>
      </rPr>
      <t>X</t>
    </r>
    <r>
      <rPr>
        <sz val="10"/>
        <rFont val="Arial"/>
        <charset val="134"/>
      </rPr>
      <t xml:space="preserve"> recap./ km rodado</t>
    </r>
  </si>
  <si>
    <t>km/jogo</t>
  </si>
  <si>
    <t>Custo mensal com pneus</t>
  </si>
  <si>
    <t>Custo Mensal com Veículos e Equipamentos (R$/mês)</t>
  </si>
  <si>
    <t>4. Ferramentas e Materiais de Consumo</t>
  </si>
  <si>
    <t>Recipiente térmico para água (5L)</t>
  </si>
  <si>
    <t>Pá de Concha</t>
  </si>
  <si>
    <t>Vassoura</t>
  </si>
  <si>
    <t>Publicidade (adesivos equipamentos)</t>
  </si>
  <si>
    <t>cj</t>
  </si>
  <si>
    <t>Publicidade (adesivos veículos)</t>
  </si>
  <si>
    <t>Custo Mensal com Ferramentas e Materiais de Consumo (R$/mês)</t>
  </si>
  <si>
    <t>5. Monitoramento da Frota</t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</si>
  <si>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</si>
  <si>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</si>
  <si>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</si>
  <si>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</si>
  <si>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</si>
  <si>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6. Manutenção dos containers</t>
  </si>
  <si>
    <t>Limpeza dos container</t>
  </si>
  <si>
    <t>Manutenção de containers- 20/ano</t>
  </si>
  <si>
    <t>Custo Mensal com Manutenção de containers (R$/mês)</t>
  </si>
  <si>
    <t>CUSTO TOTAL MENSAL COM DESPESAS OPERACIONAIS (R$/mês)</t>
  </si>
  <si>
    <t>6. Benefícios e Despesas Indiretas - BDI</t>
  </si>
  <si>
    <t>Benefícios e despesas indiretas</t>
  </si>
  <si>
    <t>CUSTO MENSAL COM BDI (R$/mês)</t>
  </si>
  <si>
    <t>PREÇO MENSAL TOTAL (R$/mês)</t>
  </si>
  <si>
    <t xml:space="preserve">Quantidade média de resíduos coletados por mês: </t>
  </si>
  <si>
    <t>toneladas</t>
  </si>
  <si>
    <t>Excluir esta linha caso a contratação seja por preço global mensal</t>
  </si>
  <si>
    <t>PREÇO POR TONELADA COLETADA:  [A/B]</t>
  </si>
  <si>
    <t>R$/tonelada</t>
  </si>
  <si>
    <t>Planilha de Composição de Custos TRIAGEM E TRANSBORDO</t>
  </si>
  <si>
    <t>3.2. Galpão para Triagem</t>
  </si>
  <si>
    <t>PREÇO TOTAL MENSAL - TRIAGEM E TRANSBORDO</t>
  </si>
  <si>
    <t>1.1. Separador Turno Dia</t>
  </si>
  <si>
    <t>1.2. Operador de Retroescavadeira / Carregadeira</t>
  </si>
  <si>
    <t>1.3. Vale Transporte</t>
  </si>
  <si>
    <t>1.4. Vale-refeição (diário)</t>
  </si>
  <si>
    <t>1.5. Auxílio Alimentação (mensal)</t>
  </si>
  <si>
    <t>1.6. Auxílio Lanche (mensal)</t>
  </si>
  <si>
    <t>3. Veículos, Equipamentos e Imóveis</t>
  </si>
  <si>
    <t>3.1. Veículo Carregadeira</t>
  </si>
  <si>
    <t>Depreciação mensal veículo carregadeira</t>
  </si>
  <si>
    <t>Hora mês</t>
  </si>
  <si>
    <t>l/h</t>
  </si>
  <si>
    <t>h</t>
  </si>
  <si>
    <t>Custo de óleo do motor /250h rodadas</t>
  </si>
  <si>
    <t>l / 250h</t>
  </si>
  <si>
    <t>Custo de óleo da transmissão /250h</t>
  </si>
  <si>
    <t>Custo de óleo hidráulico / 1.000 horas</t>
  </si>
  <si>
    <t>l / 1000h</t>
  </si>
  <si>
    <t>kg / mês</t>
  </si>
  <si>
    <t>Custo do jogo de pneus 12,5/80 R18</t>
  </si>
  <si>
    <t>3.2.1. Depreciação</t>
  </si>
  <si>
    <t>Custo de construção de Galpão de 400m²</t>
  </si>
  <si>
    <t>Vida útil da construção</t>
  </si>
  <si>
    <t>Idade da construção</t>
  </si>
  <si>
    <t>Depreciação do imóvel</t>
  </si>
  <si>
    <t>Depreciação mensal do imóvel</t>
  </si>
  <si>
    <t>Total por imóvel</t>
  </si>
  <si>
    <t>3.2.2. Remuneração do Capital</t>
  </si>
  <si>
    <t>Valor do imóvel proposto</t>
  </si>
  <si>
    <t>Investimento médio total do imóvel</t>
  </si>
  <si>
    <t>3.2.3. Licenciamentos</t>
  </si>
  <si>
    <t>Licença Ambiental - taxas</t>
  </si>
  <si>
    <t>R$ / 4 anos</t>
  </si>
  <si>
    <t>Licença Ambiental - Projetos, Parecer, ART</t>
  </si>
  <si>
    <t>ano</t>
  </si>
  <si>
    <t>Responsabilidade Técnica</t>
  </si>
  <si>
    <t>Custo Total mensal com Licenciamentos</t>
  </si>
  <si>
    <t>5. Benefícios e Despesas Indiretas - BDI</t>
  </si>
  <si>
    <t>Planilha de Composição de Custos TRANSPORTE</t>
  </si>
  <si>
    <t>1.1. Motorista de bitrem turno do dia</t>
  </si>
  <si>
    <t>1.2. Vale Transporte</t>
  </si>
  <si>
    <t>1.1. Motorista de carreta turno do dia</t>
  </si>
  <si>
    <t>1.3. Vale-refeição (diário)</t>
  </si>
  <si>
    <t>Motorista de bitrem (almoço, conforme convenção coletiva)</t>
  </si>
  <si>
    <t>1.4. Auxílio Alimentação (mensal)</t>
  </si>
  <si>
    <t>1.5. Outros benefícios (mensal) de acordo com disposto em convenção coletiva</t>
  </si>
  <si>
    <t>2.1. Uniformes e EPIs</t>
  </si>
  <si>
    <t>3.1. Veículo Carreta com roll On e Roll Off</t>
  </si>
  <si>
    <t>Depreciação mensal veículo carreta</t>
  </si>
  <si>
    <t>Custo de aquisição Roll On e Roll Off</t>
  </si>
  <si>
    <t>Depreciação do implemento</t>
  </si>
  <si>
    <t>Depreciação mensal do implemento</t>
  </si>
  <si>
    <t>Valor do veículo proposto</t>
  </si>
  <si>
    <t>l/1.000km</t>
  </si>
  <si>
    <t>kg / 1000 km</t>
  </si>
  <si>
    <t>Planilha de Composição de Custos DESTINAÇÃO FINAL</t>
  </si>
  <si>
    <t>PREÇO TOTAL MENSAL - DESTINAÇÃO FINAL</t>
  </si>
  <si>
    <t>1. Destinação Final</t>
  </si>
  <si>
    <t>Destinação final em aterro sanitário licenciado</t>
  </si>
  <si>
    <t xml:space="preserve">ton </t>
  </si>
  <si>
    <t>Custo Mensal com Destinação de Rejeitos (R$/mês)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</si>
  <si>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</si>
  <si>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</si>
  <si>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</si>
  <si>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</si>
  <si>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</si>
  <si>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</si>
  <si>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</si>
  <si>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</si>
  <si>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</si>
  <si>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</si>
  <si>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</si>
  <si>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</si>
  <si>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</si>
  <si>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</si>
  <si>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</si>
  <si>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</si>
  <si>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</si>
  <si>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</si>
  <si>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</si>
  <si>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</si>
  <si>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</si>
  <si>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</si>
  <si>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</si>
  <si>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</si>
  <si>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</si>
  <si>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</si>
  <si>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</si>
  <si>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</si>
  <si>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</si>
  <si>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</si>
  <si>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</si>
  <si>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</si>
  <si>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</si>
  <si>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</si>
  <si>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</si>
  <si>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</si>
  <si>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</si>
  <si>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</si>
  <si>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</si>
  <si>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</si>
  <si>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</si>
  <si>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</si>
  <si>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</si>
  <si>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</si>
  <si>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</si>
  <si>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</si>
  <si>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</si>
  <si>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</si>
  <si>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</si>
  <si>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</si>
  <si>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</si>
  <si>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</si>
  <si>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</si>
  <si>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</si>
  <si>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</si>
  <si>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</si>
  <si>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CÁLCULO DAS VERBAS INDENIZATÓRIAS DOS EMPREGADOS NO SETOR DE COLETA DE RSU</t>
  </si>
  <si>
    <t>Para preencher esta planilha siga os passos 1 a 5:</t>
  </si>
  <si>
    <t xml:space="preserve">1. Acesse o Portal do CAGED no link http://bi.mte.gov.br/cagedestabelecimento/pages/consulta.xhtml </t>
  </si>
  <si>
    <t>2. Na Especificação da Consulta, selecione "Demonstrativo por período" e informe as competências relativas ao período Inicial e Final (últimos 12 meses)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</si>
  <si>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</si>
  <si>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</si>
  <si>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</si>
  <si>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6. Preencha as células em amarelo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</si>
  <si>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</si>
  <si>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</si>
  <si>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</si>
  <si>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</si>
  <si>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</si>
  <si>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</si>
  <si>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</si>
  <si>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</si>
  <si>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</si>
  <si>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</si>
  <si>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</si>
  <si>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</si>
  <si>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</si>
  <si>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 xml:space="preserve"> 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</si>
  <si>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</si>
  <si>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</si>
  <si>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</si>
  <si>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</si>
  <si>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</si>
  <si>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</si>
  <si>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</si>
  <si>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</si>
  <si>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</si>
  <si>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</si>
  <si>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</si>
  <si>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</si>
  <si>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</si>
  <si>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</si>
  <si>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1. Esta planilha é somente um modelo-base e deve ser ajustada conforme cada caso concreto.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</si>
  <si>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</si>
  <si>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</si>
  <si>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</si>
  <si>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</si>
  <si>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</si>
  <si>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</si>
  <si>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</si>
  <si>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</si>
  <si>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</si>
  <si>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</si>
  <si>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</si>
  <si>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</si>
  <si>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</si>
  <si>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</si>
  <si>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</si>
  <si>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</si>
  <si>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</si>
  <si>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</si>
  <si>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</si>
  <si>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</si>
  <si>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</si>
  <si>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</si>
  <si>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</si>
  <si>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</si>
  <si>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</si>
  <si>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</si>
  <si>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theme="1"/>
        <rFont val="Arial"/>
        <charset val="134"/>
      </rPr>
      <t>J</t>
    </r>
    <r>
      <rPr>
        <vertAlign val="subscript"/>
        <sz val="12"/>
        <color indexed="8"/>
        <rFont val="Arial"/>
        <charset val="134"/>
      </rPr>
      <t>m</t>
    </r>
    <r>
      <rPr>
        <sz val="12"/>
        <color indexed="8"/>
        <rFont val="Arial"/>
        <charset val="134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</si>
  <si>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</si>
  <si>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</si>
  <si>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theme="1"/>
        <rFont val="Arial"/>
        <charset val="134"/>
      </rPr>
      <t>V</t>
    </r>
    <r>
      <rPr>
        <vertAlign val="subscript"/>
        <sz val="12"/>
        <color indexed="8"/>
        <rFont val="Arial"/>
        <charset val="134"/>
      </rPr>
      <t>0</t>
    </r>
    <r>
      <rPr>
        <sz val="12"/>
        <color indexed="8"/>
        <rFont val="Arial"/>
        <charset val="134"/>
      </rPr>
      <t xml:space="preserve"> = valor inicial do bem</t>
    </r>
  </si>
  <si>
    <r>
      <rPr>
        <sz val="12"/>
        <color theme="1"/>
        <rFont val="Arial"/>
        <charset val="134"/>
      </rPr>
      <t>V</t>
    </r>
    <r>
      <rPr>
        <vertAlign val="subscript"/>
        <sz val="12"/>
        <color indexed="8"/>
        <rFont val="Arial"/>
        <charset val="134"/>
      </rPr>
      <t>r</t>
    </r>
    <r>
      <rPr>
        <sz val="12"/>
        <color indexed="8"/>
        <rFont val="Arial"/>
        <charset val="134"/>
      </rPr>
      <t xml:space="preserve"> = valor residual do bem</t>
    </r>
  </si>
  <si>
    <t>n = vida útil do bem em anos</t>
  </si>
  <si>
    <t>1. Esta planilha é somente um modelo de cálculo expedito e deve ser ajustada conforme cada caso concreto.</t>
  </si>
  <si>
    <t>2. Dimensionar separadamente setores atendidos por veículos de capacidade de carga diferentes.</t>
  </si>
  <si>
    <t>3. Preencher somente células em amarelo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</si>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</sst>
</file>

<file path=xl/styles.xml><?xml version="1.0" encoding="utf-8"?>
<styleSheet xmlns="http://schemas.openxmlformats.org/spreadsheetml/2006/main">
  <numFmts count="16">
    <numFmt numFmtId="176" formatCode="_-&quot;R$&quot;\ * #,##0_-;\-&quot;R$&quot;\ * #,##0_-;_-&quot;R$&quot;\ * &quot;-&quot;_-;_-@_-"/>
    <numFmt numFmtId="177" formatCode="_(* #,##0_);_(* \(#,##0\);_(* &quot;-&quot;??_);_(@_)"/>
    <numFmt numFmtId="178" formatCode="_-* #,##0.000_-;\-* #,##0.000_-;_-* &quot;-&quot;??_-;_-@_-"/>
    <numFmt numFmtId="179" formatCode="_(* #,##0.00_);_(* \(#,##0.00\);_(* &quot;-&quot;??_);_(@_)"/>
    <numFmt numFmtId="180" formatCode="_-* #,##0_-;\-* #,##0_-;_-* &quot;-&quot;_-;_-@_-"/>
    <numFmt numFmtId="181" formatCode="_-&quot;R$&quot;\ * #,##0.00_-;\-&quot;R$&quot;\ * #,##0.00_-;_-&quot;R$&quot;\ * &quot;-&quot;??_-;_-@_-"/>
    <numFmt numFmtId="182" formatCode="_-* #,##0.00_-;\-* #,##0.00_-;_-* &quot;-&quot;?_-;_-@_-"/>
    <numFmt numFmtId="183" formatCode="_-* #,##0_-;\-* #,##0_-;_-* &quot;-&quot;?_-;_-@_-"/>
    <numFmt numFmtId="184" formatCode="0.0"/>
    <numFmt numFmtId="185" formatCode="0.0000"/>
    <numFmt numFmtId="186" formatCode="&quot;R$ &quot;#,##0.00"/>
    <numFmt numFmtId="187" formatCode="&quot;R$ &quot;#,##0.00_);\(&quot;R$ &quot;#,##0.00\)"/>
    <numFmt numFmtId="188" formatCode="#\ ??/??"/>
    <numFmt numFmtId="189" formatCode="_-* #,##0.00_-;\-* #,##0.00_-;_-* &quot;-&quot;??_-;_-@_-"/>
    <numFmt numFmtId="190" formatCode="_(* #,##0.000_);_(* \(#,##0.000\);_(* &quot;-&quot;??_);_(@_)"/>
    <numFmt numFmtId="191" formatCode="0.00_ "/>
  </numFmts>
  <fonts count="48">
    <font>
      <sz val="10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12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theme="1"/>
      <name val="Arial"/>
      <charset val="134"/>
    </font>
    <font>
      <sz val="10"/>
      <color rgb="FF000000"/>
      <name val="Arial"/>
      <charset val="134"/>
    </font>
    <font>
      <sz val="13"/>
      <color theme="1"/>
      <name val="Arial"/>
      <charset val="134"/>
    </font>
    <font>
      <u/>
      <sz val="10"/>
      <color indexed="12"/>
      <name val="Arial"/>
      <charset val="134"/>
    </font>
    <font>
      <sz val="10"/>
      <color theme="1"/>
      <name val="Arial"/>
      <charset val="134"/>
    </font>
    <font>
      <sz val="8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i/>
      <sz val="10"/>
      <name val="Arial"/>
      <charset val="134"/>
    </font>
    <font>
      <sz val="10"/>
      <color indexed="10"/>
      <name val="Arial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vertAlign val="subscript"/>
      <sz val="12"/>
      <color indexed="8"/>
      <name val="Arial"/>
      <charset val="134"/>
    </font>
    <font>
      <sz val="12"/>
      <color indexed="8"/>
      <name val="Arial"/>
      <charset val="134"/>
    </font>
    <font>
      <b/>
      <u/>
      <sz val="9"/>
      <name val="Arial"/>
      <charset val="134"/>
    </font>
    <font>
      <sz val="10"/>
      <color rgb="FFFF000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8"/>
      <name val="Tahoma"/>
      <charset val="134"/>
    </font>
    <font>
      <b/>
      <sz val="8"/>
      <name val="Tahoma"/>
      <charset val="134"/>
    </font>
    <font>
      <b/>
      <sz val="8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180" fontId="2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24" fillId="18" borderId="6" applyNumberFormat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1" fillId="26" borderId="0" applyNumberFormat="0" applyBorder="0" applyAlignment="0" applyProtection="0">
      <alignment vertical="center"/>
    </xf>
    <xf numFmtId="0" fontId="20" fillId="27" borderId="8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36" borderId="9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1" fillId="33" borderId="9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Font="1" applyFill="1"/>
    <xf numFmtId="0" fontId="1" fillId="0" borderId="0" xfId="0" applyFont="1"/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/>
    <xf numFmtId="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Fill="1" applyBorder="1"/>
    <xf numFmtId="0" fontId="4" fillId="3" borderId="1" xfId="0" applyFont="1" applyFill="1" applyBorder="1"/>
    <xf numFmtId="0" fontId="4" fillId="0" borderId="1" xfId="0" applyFont="1" applyBorder="1"/>
    <xf numFmtId="178" fontId="5" fillId="0" borderId="1" xfId="1" applyNumberFormat="1" applyFont="1" applyBorder="1" applyAlignment="1">
      <alignment horizontal="center" vertical="center" wrapText="1"/>
    </xf>
    <xf numFmtId="182" fontId="4" fillId="0" borderId="1" xfId="0" applyNumberFormat="1" applyFont="1" applyBorder="1"/>
    <xf numFmtId="2" fontId="4" fillId="0" borderId="1" xfId="0" applyNumberFormat="1" applyFont="1" applyBorder="1"/>
    <xf numFmtId="182" fontId="4" fillId="3" borderId="1" xfId="0" applyNumberFormat="1" applyFont="1" applyFill="1" applyBorder="1"/>
    <xf numFmtId="183" fontId="4" fillId="3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Font="1" applyBorder="1"/>
    <xf numFmtId="0" fontId="6" fillId="0" borderId="3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9" fontId="3" fillId="0" borderId="1" xfId="4" applyFont="1" applyBorder="1" applyAlignment="1">
      <alignment horizontal="center"/>
    </xf>
    <xf numFmtId="9" fontId="4" fillId="0" borderId="1" xfId="4" applyFont="1" applyBorder="1"/>
    <xf numFmtId="9" fontId="4" fillId="0" borderId="1" xfId="4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0" fontId="4" fillId="0" borderId="1" xfId="4" applyNumberFormat="1" applyFont="1" applyBorder="1" applyAlignment="1">
      <alignment horizontal="right"/>
    </xf>
    <xf numFmtId="10" fontId="4" fillId="0" borderId="1" xfId="0" applyNumberFormat="1" applyFont="1" applyFill="1" applyBorder="1" applyAlignment="1">
      <alignment horizontal="center" vertical="center"/>
    </xf>
    <xf numFmtId="10" fontId="4" fillId="3" borderId="1" xfId="4" applyNumberFormat="1" applyFont="1" applyFill="1" applyBorder="1" applyAlignment="1">
      <alignment horizontal="center"/>
    </xf>
    <xf numFmtId="10" fontId="4" fillId="0" borderId="1" xfId="4" applyNumberFormat="1" applyFont="1" applyBorder="1"/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10" fontId="3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Border="1"/>
    <xf numFmtId="0" fontId="10" fillId="0" borderId="1" xfId="0" applyFont="1" applyBorder="1"/>
    <xf numFmtId="0" fontId="10" fillId="3" borderId="1" xfId="0" applyFont="1" applyFill="1" applyBorder="1"/>
    <xf numFmtId="184" fontId="10" fillId="0" borderId="1" xfId="0" applyNumberFormat="1" applyFont="1" applyBorder="1"/>
    <xf numFmtId="2" fontId="10" fillId="0" borderId="1" xfId="0" applyNumberFormat="1" applyFont="1" applyBorder="1"/>
    <xf numFmtId="9" fontId="3" fillId="0" borderId="1" xfId="0" applyNumberFormat="1" applyFont="1" applyBorder="1"/>
    <xf numFmtId="0" fontId="10" fillId="0" borderId="0" xfId="0" applyFont="1" applyBorder="1"/>
    <xf numFmtId="185" fontId="3" fillId="0" borderId="0" xfId="0" applyNumberFormat="1" applyFont="1" applyBorder="1"/>
    <xf numFmtId="0" fontId="1" fillId="0" borderId="0" xfId="0" applyFont="1" applyBorder="1"/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0" fontId="9" fillId="0" borderId="1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0" fontId="8" fillId="0" borderId="1" xfId="0" applyNumberFormat="1" applyFont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0" fontId="8" fillId="5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0" fontId="0" fillId="0" borderId="0" xfId="0" applyNumberFormat="1" applyFont="1"/>
    <xf numFmtId="9" fontId="9" fillId="0" borderId="0" xfId="4" applyFont="1" applyBorder="1" applyAlignment="1">
      <alignment horizontal="right" vertical="center"/>
    </xf>
    <xf numFmtId="10" fontId="0" fillId="0" borderId="0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10" fontId="8" fillId="7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0" fontId="8" fillId="0" borderId="0" xfId="0" applyNumberFormat="1" applyFont="1" applyFill="1" applyBorder="1" applyAlignment="1">
      <alignment horizontal="right" vertical="center"/>
    </xf>
    <xf numFmtId="0" fontId="11" fillId="8" borderId="0" xfId="0" applyFont="1" applyFill="1" applyBorder="1" applyAlignment="1">
      <alignment horizontal="left" vertical="center"/>
    </xf>
    <xf numFmtId="10" fontId="9" fillId="0" borderId="0" xfId="0" applyNumberFormat="1" applyFont="1" applyFill="1" applyBorder="1" applyAlignment="1">
      <alignment horizontal="right" vertical="center"/>
    </xf>
    <xf numFmtId="0" fontId="9" fillId="8" borderId="0" xfId="0" applyFont="1" applyFill="1" applyBorder="1" applyAlignment="1">
      <alignment horizontal="left" vertical="center"/>
    </xf>
    <xf numFmtId="10" fontId="9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0" fontId="8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justify" vertical="center"/>
    </xf>
    <xf numFmtId="0" fontId="13" fillId="0" borderId="0" xfId="11" applyFont="1" applyBorder="1" applyAlignment="1" applyProtection="1">
      <alignment horizontal="left" vertical="center"/>
    </xf>
    <xf numFmtId="0" fontId="14" fillId="0" borderId="0" xfId="0" applyFont="1" applyBorder="1"/>
    <xf numFmtId="0" fontId="9" fillId="0" borderId="0" xfId="0" applyFont="1" applyBorder="1" applyAlignment="1">
      <alignment horizontal="right" vertical="center"/>
    </xf>
    <xf numFmtId="0" fontId="13" fillId="0" borderId="0" xfId="1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9" fontId="0" fillId="0" borderId="0" xfId="1" applyFont="1" applyAlignment="1">
      <alignment vertical="center"/>
    </xf>
    <xf numFmtId="179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79" fontId="4" fillId="0" borderId="0" xfId="1" applyFont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179" fontId="0" fillId="0" borderId="1" xfId="1" applyFont="1" applyFill="1" applyBorder="1" applyAlignment="1">
      <alignment vertical="center"/>
    </xf>
    <xf numFmtId="179" fontId="7" fillId="6" borderId="1" xfId="1" applyFont="1" applyFill="1" applyBorder="1" applyAlignment="1">
      <alignment horizontal="center" vertical="center"/>
    </xf>
    <xf numFmtId="179" fontId="1" fillId="0" borderId="1" xfId="1" applyFont="1" applyBorder="1" applyAlignment="1">
      <alignment horizontal="center" vertical="center"/>
    </xf>
    <xf numFmtId="179" fontId="1" fillId="0" borderId="1" xfId="1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186" fontId="1" fillId="0" borderId="1" xfId="0" applyNumberFormat="1" applyFont="1" applyBorder="1" applyAlignment="1">
      <alignment vertical="center"/>
    </xf>
    <xf numFmtId="10" fontId="1" fillId="0" borderId="1" xfId="4" applyNumberFormat="1" applyFont="1" applyBorder="1" applyAlignment="1">
      <alignment vertical="center"/>
    </xf>
    <xf numFmtId="179" fontId="1" fillId="0" borderId="0" xfId="1" applyFont="1" applyAlignment="1">
      <alignment vertical="center"/>
    </xf>
    <xf numFmtId="179" fontId="1" fillId="0" borderId="1" xfId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Continuous" vertical="center"/>
    </xf>
    <xf numFmtId="187" fontId="1" fillId="0" borderId="1" xfId="0" applyNumberFormat="1" applyFont="1" applyBorder="1" applyAlignment="1">
      <alignment vertical="center"/>
    </xf>
    <xf numFmtId="9" fontId="1" fillId="0" borderId="1" xfId="4" applyFont="1" applyBorder="1" applyAlignment="1">
      <alignment vertical="center"/>
    </xf>
    <xf numFmtId="177" fontId="0" fillId="0" borderId="1" xfId="1" applyNumberFormat="1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179" fontId="16" fillId="9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9" fontId="0" fillId="10" borderId="1" xfId="1" applyFont="1" applyFill="1" applyBorder="1" applyAlignment="1">
      <alignment horizontal="center" vertical="center"/>
    </xf>
    <xf numFmtId="179" fontId="0" fillId="0" borderId="1" xfId="1" applyFont="1" applyBorder="1" applyAlignment="1">
      <alignment horizontal="center" vertical="center"/>
    </xf>
    <xf numFmtId="179" fontId="1" fillId="11" borderId="1" xfId="1" applyFont="1" applyFill="1" applyBorder="1" applyAlignment="1">
      <alignment vertical="center"/>
    </xf>
    <xf numFmtId="179" fontId="1" fillId="9" borderId="1" xfId="1" applyFont="1" applyFill="1" applyBorder="1" applyAlignment="1">
      <alignment vertical="center"/>
    </xf>
    <xf numFmtId="179" fontId="0" fillId="12" borderId="1" xfId="1" applyFont="1" applyFill="1" applyBorder="1" applyAlignment="1">
      <alignment horizontal="center" vertical="center"/>
    </xf>
    <xf numFmtId="179" fontId="1" fillId="9" borderId="1" xfId="1" applyFont="1" applyFill="1" applyBorder="1" applyAlignment="1">
      <alignment horizontal="center" vertical="center"/>
    </xf>
    <xf numFmtId="179" fontId="1" fillId="0" borderId="1" xfId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9" fontId="7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9" fontId="1" fillId="0" borderId="0" xfId="1" applyFont="1" applyBorder="1" applyAlignment="1">
      <alignment vertical="center"/>
    </xf>
    <xf numFmtId="179" fontId="7" fillId="0" borderId="0" xfId="1" applyFont="1" applyAlignment="1">
      <alignment vertical="center"/>
    </xf>
    <xf numFmtId="179" fontId="0" fillId="0" borderId="1" xfId="0" applyNumberFormat="1" applyBorder="1" applyAlignment="1">
      <alignment vertical="center"/>
    </xf>
    <xf numFmtId="186" fontId="0" fillId="0" borderId="1" xfId="0" applyNumberFormat="1" applyBorder="1" applyAlignment="1">
      <alignment vertical="center"/>
    </xf>
    <xf numFmtId="10" fontId="0" fillId="0" borderId="1" xfId="4" applyNumberFormat="1" applyFont="1" applyBorder="1" applyAlignment="1">
      <alignment vertical="center"/>
    </xf>
    <xf numFmtId="179" fontId="0" fillId="0" borderId="1" xfId="1" applyFont="1" applyBorder="1" applyAlignment="1">
      <alignment horizontal="left" vertical="center"/>
    </xf>
    <xf numFmtId="186" fontId="0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centerContinuous" vertical="center"/>
    </xf>
    <xf numFmtId="179" fontId="1" fillId="0" borderId="1" xfId="1" applyFont="1" applyBorder="1" applyAlignment="1">
      <alignment horizontal="right" vertical="center"/>
    </xf>
    <xf numFmtId="1" fontId="0" fillId="0" borderId="1" xfId="1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1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3" borderId="1" xfId="4" applyNumberFormat="1" applyFont="1" applyFill="1" applyBorder="1" applyAlignment="1">
      <alignment vertical="center"/>
    </xf>
    <xf numFmtId="177" fontId="1" fillId="0" borderId="1" xfId="1" applyNumberFormat="1" applyFont="1" applyBorder="1" applyAlignment="1">
      <alignment horizontal="center" vertical="center"/>
    </xf>
    <xf numFmtId="179" fontId="0" fillId="3" borderId="1" xfId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9" fontId="0" fillId="0" borderId="1" xfId="1" applyFont="1" applyFill="1" applyBorder="1" applyAlignment="1">
      <alignment horizontal="center" vertical="center"/>
    </xf>
    <xf numFmtId="179" fontId="0" fillId="0" borderId="1" xfId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79" fontId="0" fillId="3" borderId="1" xfId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77" fontId="0" fillId="3" borderId="1" xfId="1" applyNumberFormat="1" applyFont="1" applyFill="1" applyBorder="1" applyAlignment="1">
      <alignment vertical="center"/>
    </xf>
    <xf numFmtId="179" fontId="1" fillId="0" borderId="1" xfId="1" applyFont="1" applyFill="1" applyBorder="1" applyAlignment="1">
      <alignment vertical="center"/>
    </xf>
    <xf numFmtId="177" fontId="0" fillId="0" borderId="1" xfId="1" applyNumberFormat="1" applyFont="1" applyFill="1" applyBorder="1" applyAlignment="1">
      <alignment vertical="center"/>
    </xf>
    <xf numFmtId="179" fontId="0" fillId="10" borderId="1" xfId="1" applyNumberFormat="1" applyFont="1" applyFill="1" applyBorder="1" applyAlignment="1">
      <alignment horizontal="center" vertical="center"/>
    </xf>
    <xf numFmtId="179" fontId="0" fillId="3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9" borderId="1" xfId="0" applyFont="1" applyFill="1" applyBorder="1" applyAlignment="1">
      <alignment horizontal="center" vertical="center" wrapText="1"/>
    </xf>
    <xf numFmtId="188" fontId="0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9" fontId="1" fillId="11" borderId="1" xfId="1" applyFont="1" applyFill="1" applyBorder="1" applyAlignment="1">
      <alignment horizontal="center" vertical="center"/>
    </xf>
    <xf numFmtId="0" fontId="13" fillId="0" borderId="1" xfId="11" applyBorder="1" applyAlignment="1" applyProtection="1">
      <alignment vertical="center"/>
    </xf>
    <xf numFmtId="0" fontId="0" fillId="0" borderId="1" xfId="0" applyFont="1" applyFill="1" applyBorder="1" applyAlignment="1">
      <alignment horizontal="center" vertical="center"/>
    </xf>
    <xf numFmtId="179" fontId="0" fillId="12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0" fillId="3" borderId="1" xfId="0" applyNumberFormat="1" applyFont="1" applyFill="1" applyBorder="1" applyAlignment="1" applyProtection="1">
      <alignment horizontal="center" vertical="center"/>
    </xf>
    <xf numFmtId="189" fontId="0" fillId="0" borderId="0" xfId="0" applyNumberFormat="1" applyFont="1" applyAlignment="1">
      <alignment vertical="center"/>
    </xf>
    <xf numFmtId="179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center" vertical="center"/>
    </xf>
    <xf numFmtId="190" fontId="0" fillId="0" borderId="1" xfId="1" applyNumberFormat="1" applyFont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center" vertical="center"/>
    </xf>
    <xf numFmtId="190" fontId="0" fillId="3" borderId="1" xfId="1" applyNumberFormat="1" applyFont="1" applyFill="1" applyBorder="1" applyAlignment="1">
      <alignment horizontal="center" vertical="center"/>
    </xf>
    <xf numFmtId="179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190" fontId="1" fillId="0" borderId="1" xfId="1" applyNumberFormat="1" applyFont="1" applyBorder="1" applyAlignment="1">
      <alignment horizontal="center" vertical="center"/>
    </xf>
    <xf numFmtId="179" fontId="1" fillId="13" borderId="1" xfId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9" fontId="18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79" fontId="1" fillId="9" borderId="1" xfId="1" applyNumberFormat="1" applyFont="1" applyFill="1" applyBorder="1" applyAlignment="1">
      <alignment horizontal="center" vertical="center"/>
    </xf>
    <xf numFmtId="17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179" fontId="0" fillId="0" borderId="1" xfId="1" applyFont="1" applyBorder="1"/>
    <xf numFmtId="179" fontId="0" fillId="0" borderId="0" xfId="1" applyFont="1"/>
    <xf numFmtId="0" fontId="0" fillId="0" borderId="1" xfId="11" applyFont="1" applyBorder="1" applyAlignment="1" applyProtection="1">
      <alignment vertical="center"/>
    </xf>
    <xf numFmtId="179" fontId="0" fillId="0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0" fillId="0" borderId="1" xfId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179" fontId="19" fillId="0" borderId="0" xfId="1" applyFont="1" applyAlignment="1">
      <alignment vertical="center"/>
    </xf>
    <xf numFmtId="191" fontId="0" fillId="3" borderId="1" xfId="0" applyNumberFormat="1" applyFont="1" applyFill="1" applyBorder="1" applyAlignment="1">
      <alignment horizontal="center" vertical="center"/>
    </xf>
    <xf numFmtId="179" fontId="18" fillId="3" borderId="1" xfId="1" applyFont="1" applyFill="1" applyBorder="1" applyAlignment="1">
      <alignment horizontal="center" vertical="center"/>
    </xf>
    <xf numFmtId="191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9" fontId="7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9" fontId="4" fillId="0" borderId="1" xfId="1" applyFont="1" applyBorder="1" applyAlignment="1">
      <alignment vertical="center"/>
    </xf>
    <xf numFmtId="179" fontId="0" fillId="3" borderId="1" xfId="1" applyNumberFormat="1" applyFont="1" applyFill="1" applyBorder="1" applyAlignment="1">
      <alignment vertical="center"/>
    </xf>
    <xf numFmtId="179" fontId="1" fillId="9" borderId="1" xfId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752475"/>
          <a:ext cx="128587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236345"/>
          <a:ext cx="203835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view="pageBreakPreview" zoomScaleNormal="100" workbookViewId="0">
      <selection activeCell="B17" sqref="B17"/>
    </sheetView>
  </sheetViews>
  <sheetFormatPr defaultColWidth="9" defaultRowHeight="13.2" outlineLevelCol="6"/>
  <cols>
    <col min="1" max="1" width="47.8888888888889" style="99" customWidth="1"/>
    <col min="2" max="2" width="16" style="99" customWidth="1"/>
    <col min="3" max="3" width="11.8518518518519" style="99" customWidth="1"/>
    <col min="4" max="4" width="14.712962962963" style="100" customWidth="1"/>
    <col min="5" max="5" width="15.4259259259259" style="100" customWidth="1"/>
    <col min="6" max="6" width="13.287037037037" style="100" customWidth="1"/>
    <col min="7" max="7" width="28.1388888888889" style="100" customWidth="1"/>
    <col min="8" max="8" width="9.13888888888889" style="99"/>
    <col min="9" max="9" width="14.5740740740741" style="99" customWidth="1"/>
    <col min="10" max="10" width="13.4259259259259" style="99" customWidth="1"/>
    <col min="11" max="16383" width="9.13888888888889" style="99"/>
    <col min="16384" max="16384" width="9.13888888888889"/>
  </cols>
  <sheetData>
    <row r="1" s="96" customFormat="1" ht="17.4" spans="1:7">
      <c r="A1" s="61" t="s">
        <v>0</v>
      </c>
      <c r="B1" s="61"/>
      <c r="C1" s="61"/>
      <c r="D1" s="61"/>
      <c r="E1" s="61"/>
      <c r="F1" s="61"/>
      <c r="G1" s="104"/>
    </row>
    <row r="2" s="96" customFormat="1" ht="21.75" customHeight="1" spans="1:7">
      <c r="A2" s="105" t="s">
        <v>1</v>
      </c>
      <c r="B2" s="105"/>
      <c r="C2" s="105"/>
      <c r="D2" s="105"/>
      <c r="E2" s="105"/>
      <c r="F2" s="105"/>
      <c r="G2" s="104"/>
    </row>
    <row r="3" s="95" customFormat="1" ht="10.9" customHeight="1" spans="1:7">
      <c r="A3" s="106"/>
      <c r="B3" s="107"/>
      <c r="C3" s="107"/>
      <c r="D3" s="108"/>
      <c r="E3" s="108"/>
      <c r="F3" s="108"/>
      <c r="G3" s="100"/>
    </row>
    <row r="4" s="95" customFormat="1" ht="15.75" customHeight="1" spans="1:7">
      <c r="A4" s="109" t="s">
        <v>2</v>
      </c>
      <c r="B4" s="109"/>
      <c r="C4" s="109"/>
      <c r="D4" s="109"/>
      <c r="E4" s="109"/>
      <c r="F4" s="109"/>
      <c r="G4" s="100"/>
    </row>
    <row r="5" s="95" customFormat="1" ht="15.75" customHeight="1" spans="1:7">
      <c r="A5" s="110" t="s">
        <v>3</v>
      </c>
      <c r="B5" s="101"/>
      <c r="C5" s="101"/>
      <c r="D5" s="111"/>
      <c r="E5" s="111" t="s">
        <v>4</v>
      </c>
      <c r="F5" s="110" t="s">
        <v>5</v>
      </c>
      <c r="G5" s="100"/>
    </row>
    <row r="6" s="97" customFormat="1" ht="15.75" customHeight="1" spans="1:7">
      <c r="A6" s="111" t="s">
        <v>6</v>
      </c>
      <c r="B6" s="112"/>
      <c r="C6" s="111"/>
      <c r="D6" s="111"/>
      <c r="E6" s="113">
        <f>'1. Coleta Domiciliar'!F311</f>
        <v>44417.4871318795</v>
      </c>
      <c r="F6" s="114">
        <f>IFERROR(E6/$E$10,0)</f>
        <v>0.443577867167387</v>
      </c>
      <c r="G6" s="115"/>
    </row>
    <row r="7" s="97" customFormat="1" ht="15.75" customHeight="1" spans="1:7">
      <c r="A7" s="116" t="s">
        <v>7</v>
      </c>
      <c r="B7" s="117"/>
      <c r="C7" s="111"/>
      <c r="D7" s="111"/>
      <c r="E7" s="113">
        <f>'2. Triagem, Transbordo'!F273</f>
        <v>17422.3055378416</v>
      </c>
      <c r="F7" s="114">
        <f>IFERROR(E7/$E$10,0)</f>
        <v>0.173988886599298</v>
      </c>
      <c r="G7" s="115"/>
    </row>
    <row r="8" s="97" customFormat="1" ht="15.75" customHeight="1" spans="1:7">
      <c r="A8" s="116" t="s">
        <v>8</v>
      </c>
      <c r="B8" s="117"/>
      <c r="C8" s="111"/>
      <c r="D8" s="111"/>
      <c r="E8" s="113">
        <f>'3. Transporte'!F217</f>
        <v>7812.39568456728</v>
      </c>
      <c r="F8" s="114">
        <f>IFERROR(E8/$E$10,0)</f>
        <v>0.0780189524215755</v>
      </c>
      <c r="G8" s="115"/>
    </row>
    <row r="9" s="97" customFormat="1" ht="15.75" customHeight="1" spans="1:7">
      <c r="A9" s="116" t="s">
        <v>9</v>
      </c>
      <c r="B9" s="117"/>
      <c r="C9" s="111"/>
      <c r="D9" s="111"/>
      <c r="E9" s="113">
        <f>'4. Destinação final'!F36</f>
        <v>30482.4</v>
      </c>
      <c r="F9" s="114">
        <f>IFERROR(E9/$E$10,0)</f>
        <v>0.30441429381174</v>
      </c>
      <c r="G9" s="115"/>
    </row>
    <row r="10" s="95" customFormat="1" ht="15.75" customHeight="1" spans="1:7">
      <c r="A10" s="116" t="s">
        <v>10</v>
      </c>
      <c r="B10" s="117"/>
      <c r="C10" s="111"/>
      <c r="D10" s="111"/>
      <c r="E10" s="118">
        <f>SUM(E6:E9)</f>
        <v>100134.588354288</v>
      </c>
      <c r="F10" s="119">
        <f>SUM(F6:F9)</f>
        <v>1</v>
      </c>
      <c r="G10" s="100"/>
    </row>
    <row r="11" ht="12.6" customHeight="1" spans="1:6">
      <c r="A11" s="133"/>
      <c r="B11" s="133"/>
      <c r="C11" s="133"/>
      <c r="D11" s="134"/>
      <c r="E11" s="134"/>
      <c r="F11" s="134"/>
    </row>
    <row r="12" s="95" customFormat="1" ht="9.75" customHeight="1" spans="1:7">
      <c r="A12" s="135"/>
      <c r="B12" s="100"/>
      <c r="C12" s="100"/>
      <c r="D12" s="100"/>
      <c r="E12" s="100"/>
      <c r="F12" s="100"/>
      <c r="G12" s="100"/>
    </row>
    <row r="13" s="95" customFormat="1" ht="9.75" customHeight="1" spans="1:7">
      <c r="A13" s="135"/>
      <c r="B13" s="100"/>
      <c r="C13" s="100"/>
      <c r="D13" s="100"/>
      <c r="E13" s="100"/>
      <c r="F13" s="100"/>
      <c r="G13" s="100"/>
    </row>
    <row r="14" s="95" customFormat="1" ht="9.75" customHeight="1" spans="1:7">
      <c r="A14" s="135"/>
      <c r="B14" s="100"/>
      <c r="C14" s="100"/>
      <c r="D14" s="100"/>
      <c r="E14" s="100"/>
      <c r="F14" s="100"/>
      <c r="G14" s="100"/>
    </row>
    <row r="44" ht="9" customHeight="1" spans="4:7">
      <c r="D44" s="99"/>
      <c r="E44" s="99"/>
      <c r="F44" s="99"/>
      <c r="G44" s="99"/>
    </row>
  </sheetData>
  <mergeCells count="3">
    <mergeCell ref="A1:F1"/>
    <mergeCell ref="A2:F2"/>
    <mergeCell ref="A4:F4"/>
  </mergeCells>
  <pageMargins left="0.905511811023622" right="0.511811023622047" top="0.748031496062992" bottom="0.748031496062992" header="0.31496062992126" footer="0.31496062992126"/>
  <pageSetup paperSize="9" fitToHeight="0" orientation="landscape"/>
  <headerFooter alignWithMargins="0">
    <oddFooter>&amp;R&amp;P de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G31" sqref="G31"/>
    </sheetView>
  </sheetViews>
  <sheetFormatPr defaultColWidth="9" defaultRowHeight="13.2"/>
  <cols>
    <col min="1" max="1" width="70.4259259259259" style="3" customWidth="1"/>
    <col min="2" max="3" width="9.13888888888889" style="3"/>
    <col min="4" max="4" width="12.8518518518519" style="3" customWidth="1"/>
    <col min="5" max="16384" width="9.13888888888889" style="3"/>
  </cols>
  <sheetData>
    <row r="1" ht="17.4" spans="1:1">
      <c r="A1" s="19" t="s">
        <v>367</v>
      </c>
    </row>
    <row r="2" spans="1:1">
      <c r="A2" s="20"/>
    </row>
    <row r="3" spans="1:1">
      <c r="A3" s="20" t="s">
        <v>368</v>
      </c>
    </row>
    <row r="4" spans="1:1">
      <c r="A4" s="20"/>
    </row>
    <row r="5" spans="1:1">
      <c r="A5" s="20"/>
    </row>
    <row r="6" spans="1:1">
      <c r="A6" s="20"/>
    </row>
    <row r="7" spans="1:1">
      <c r="A7" s="20"/>
    </row>
    <row r="8" spans="1:1">
      <c r="A8" s="20"/>
    </row>
    <row r="9" spans="1:1">
      <c r="A9" s="20"/>
    </row>
    <row r="10" spans="1:1">
      <c r="A10" s="20"/>
    </row>
    <row r="11" spans="1:1">
      <c r="A11" s="20"/>
    </row>
    <row r="12" ht="19.2" spans="1:1">
      <c r="A12" s="21" t="s">
        <v>369</v>
      </c>
    </row>
    <row r="13" ht="15" spans="1:1">
      <c r="A13" s="21" t="s">
        <v>370</v>
      </c>
    </row>
    <row r="14" ht="15" spans="1:1">
      <c r="A14" s="21" t="s">
        <v>371</v>
      </c>
    </row>
    <row r="15" ht="19.2" spans="1:1">
      <c r="A15" s="21" t="s">
        <v>372</v>
      </c>
    </row>
    <row r="16" ht="19.2" spans="1:1">
      <c r="A16" s="21" t="s">
        <v>373</v>
      </c>
    </row>
    <row r="17" ht="15.75" spans="1:1">
      <c r="A17" s="22" t="s">
        <v>374</v>
      </c>
    </row>
  </sheetData>
  <pageMargins left="0.905511811023622" right="0.511811023622047" top="0.748031496062992" bottom="0.748031496062992" header="0.31496062992126" footer="0.31496062992126"/>
  <pageSetup paperSize="9" orientation="portrait" verticalDpi="597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zoomScale="170" zoomScaleNormal="170" topLeftCell="A6" workbookViewId="0">
      <selection activeCell="A14" sqref="A14"/>
    </sheetView>
  </sheetViews>
  <sheetFormatPr defaultColWidth="9" defaultRowHeight="13.2" outlineLevelCol="2"/>
  <cols>
    <col min="1" max="1" width="58.287037037037" style="3" customWidth="1"/>
    <col min="2" max="2" width="11.1388888888889" style="3" customWidth="1"/>
    <col min="3" max="3" width="11.287037037037" style="3" customWidth="1"/>
    <col min="4" max="16384" width="9.13888888888889" style="3"/>
  </cols>
  <sheetData>
    <row r="1" spans="1:3">
      <c r="A1" s="4" t="s">
        <v>11</v>
      </c>
      <c r="B1" s="5"/>
      <c r="C1" s="5"/>
    </row>
    <row r="2" spans="1:3">
      <c r="A2" s="6" t="s">
        <v>375</v>
      </c>
      <c r="B2" s="5"/>
      <c r="C2" s="5"/>
    </row>
    <row r="3" spans="1:3">
      <c r="A3" s="6" t="s">
        <v>376</v>
      </c>
      <c r="B3" s="5"/>
      <c r="C3" s="5"/>
    </row>
    <row r="4" spans="1:3">
      <c r="A4" s="7" t="s">
        <v>377</v>
      </c>
      <c r="B4" s="5"/>
      <c r="C4" s="5"/>
    </row>
    <row r="5" spans="1:3">
      <c r="A5" s="5"/>
      <c r="B5" s="5"/>
      <c r="C5" s="5"/>
    </row>
    <row r="6" ht="17.4" spans="1:3">
      <c r="A6" s="8" t="s">
        <v>378</v>
      </c>
      <c r="B6" s="8"/>
      <c r="C6" s="8"/>
    </row>
    <row r="7" s="1" customFormat="1" ht="17.4" spans="1:3">
      <c r="A7" s="9"/>
      <c r="B7" s="9"/>
      <c r="C7" s="9"/>
    </row>
    <row r="8" s="2" customFormat="1" ht="13.8" spans="1:3">
      <c r="A8" s="10" t="s">
        <v>379</v>
      </c>
      <c r="B8" s="10" t="s">
        <v>380</v>
      </c>
      <c r="C8" s="10" t="s">
        <v>254</v>
      </c>
    </row>
    <row r="9" ht="13.8" spans="1:3">
      <c r="A9" s="11" t="s">
        <v>381</v>
      </c>
      <c r="B9" s="11" t="s">
        <v>382</v>
      </c>
      <c r="C9" s="12">
        <v>14446</v>
      </c>
    </row>
    <row r="10" ht="13.8" spans="1:3">
      <c r="A10" s="13" t="s">
        <v>383</v>
      </c>
      <c r="B10" s="13" t="s">
        <v>384</v>
      </c>
      <c r="C10" s="14">
        <f>0.0362741*C9^0.2336249</f>
        <v>0.339951737698853</v>
      </c>
    </row>
    <row r="11" ht="13.8" spans="1:3">
      <c r="A11" s="13" t="s">
        <v>385</v>
      </c>
      <c r="B11" s="13" t="s">
        <v>386</v>
      </c>
      <c r="C11" s="15"/>
    </row>
    <row r="12" ht="13.8" spans="1:3">
      <c r="A12" s="13" t="s">
        <v>387</v>
      </c>
      <c r="B12" s="13" t="s">
        <v>388</v>
      </c>
      <c r="C12" s="16">
        <v>150</v>
      </c>
    </row>
    <row r="13" ht="13.8" spans="1:3">
      <c r="A13" s="13" t="s">
        <v>389</v>
      </c>
      <c r="B13" s="13" t="s">
        <v>65</v>
      </c>
      <c r="C13" s="17">
        <v>3</v>
      </c>
    </row>
    <row r="14" ht="13.8" spans="1:3">
      <c r="A14" s="13" t="s">
        <v>390</v>
      </c>
      <c r="B14" s="13" t="s">
        <v>386</v>
      </c>
      <c r="C14" s="15">
        <f>IFERROR(C11*7/C13,0)</f>
        <v>0</v>
      </c>
    </row>
    <row r="15" ht="13.8" spans="1:3">
      <c r="A15" s="11" t="s">
        <v>391</v>
      </c>
      <c r="B15" s="13" t="s">
        <v>392</v>
      </c>
      <c r="C15" s="13">
        <v>500</v>
      </c>
    </row>
    <row r="16" ht="13.8" spans="1:3">
      <c r="A16" s="13" t="s">
        <v>393</v>
      </c>
      <c r="B16" s="13"/>
      <c r="C16" s="12">
        <v>1</v>
      </c>
    </row>
    <row r="17" ht="13.8" spans="1:3">
      <c r="A17" s="11" t="s">
        <v>394</v>
      </c>
      <c r="B17" s="13" t="s">
        <v>395</v>
      </c>
      <c r="C17" s="12">
        <v>15</v>
      </c>
    </row>
    <row r="18" ht="13.8" spans="1:3">
      <c r="A18" s="13" t="s">
        <v>396</v>
      </c>
      <c r="B18" s="13" t="s">
        <v>388</v>
      </c>
      <c r="C18" s="13">
        <f>IF(AND(C17&gt;=15,C16=1),5.8,C17/2)</f>
        <v>5.8</v>
      </c>
    </row>
    <row r="19" ht="13.8" spans="1:3">
      <c r="A19" s="11" t="s">
        <v>397</v>
      </c>
      <c r="B19" s="13"/>
      <c r="C19" s="15">
        <v>0.81</v>
      </c>
    </row>
    <row r="20" ht="13.8" spans="1:3">
      <c r="A20" s="11" t="s">
        <v>398</v>
      </c>
      <c r="B20" s="13"/>
      <c r="C20" s="18">
        <v>1</v>
      </c>
    </row>
    <row r="21" ht="13.8" spans="1:3">
      <c r="A21" s="11" t="s">
        <v>399</v>
      </c>
      <c r="B21" s="13"/>
      <c r="C21" s="15">
        <f>IFERROR(C19/C20,0)</f>
        <v>0.81</v>
      </c>
    </row>
  </sheetData>
  <mergeCells count="1">
    <mergeCell ref="A6:C6"/>
  </mergeCells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0"/>
  <sheetViews>
    <sheetView view="pageBreakPreview" zoomScaleNormal="100" topLeftCell="A122" workbookViewId="0">
      <selection activeCell="D142" sqref="D142"/>
    </sheetView>
  </sheetViews>
  <sheetFormatPr defaultColWidth="9" defaultRowHeight="13.2"/>
  <cols>
    <col min="1" max="1" width="47.8888888888889" style="99" customWidth="1"/>
    <col min="2" max="2" width="16" style="99" customWidth="1"/>
    <col min="3" max="3" width="11.8518518518519" style="99" customWidth="1"/>
    <col min="4" max="4" width="14.712962962963" style="100" customWidth="1"/>
    <col min="5" max="5" width="15.4259259259259" style="100" customWidth="1"/>
    <col min="6" max="6" width="13.287037037037" style="100" customWidth="1"/>
    <col min="7" max="7" width="28.1388888888889" style="100" customWidth="1"/>
    <col min="8" max="8" width="9.13888888888889" style="99"/>
    <col min="9" max="9" width="14.5740740740741" style="99" customWidth="1"/>
    <col min="10" max="10" width="13.4259259259259" style="99" customWidth="1"/>
    <col min="11" max="16384" width="9.13888888888889" style="99"/>
  </cols>
  <sheetData>
    <row r="1" spans="1:6">
      <c r="A1" s="4" t="s">
        <v>11</v>
      </c>
      <c r="B1" s="7"/>
      <c r="C1" s="7"/>
      <c r="D1" s="101"/>
      <c r="E1" s="101"/>
      <c r="F1" s="101"/>
    </row>
    <row r="2" spans="1:6">
      <c r="A2" s="6" t="s">
        <v>12</v>
      </c>
      <c r="B2" s="7"/>
      <c r="C2" s="7"/>
      <c r="D2" s="101"/>
      <c r="E2" s="101"/>
      <c r="F2" s="101"/>
    </row>
    <row r="3" s="95" customFormat="1" ht="15.6" customHeight="1" spans="1:7">
      <c r="A3" s="7" t="s">
        <v>13</v>
      </c>
      <c r="B3" s="102"/>
      <c r="C3" s="103"/>
      <c r="D3" s="103"/>
      <c r="E3" s="103"/>
      <c r="F3" s="103"/>
      <c r="G3" s="100"/>
    </row>
    <row r="4" s="95" customFormat="1" ht="15.6" customHeight="1" spans="1:7">
      <c r="A4" s="6" t="s">
        <v>14</v>
      </c>
      <c r="B4" s="103"/>
      <c r="C4" s="103"/>
      <c r="D4" s="103"/>
      <c r="E4" s="103"/>
      <c r="F4" s="103"/>
      <c r="G4" s="100"/>
    </row>
    <row r="5" s="95" customFormat="1" ht="15.6" customHeight="1" spans="1:7">
      <c r="A5" s="7"/>
      <c r="B5" s="103"/>
      <c r="C5" s="103"/>
      <c r="D5" s="103"/>
      <c r="E5" s="103"/>
      <c r="F5" s="103"/>
      <c r="G5" s="100"/>
    </row>
    <row r="6" s="95" customFormat="1" ht="15.6" customHeight="1" spans="1:7">
      <c r="A6" s="7"/>
      <c r="B6" s="103"/>
      <c r="C6" s="103"/>
      <c r="D6" s="103"/>
      <c r="E6" s="103"/>
      <c r="F6" s="103"/>
      <c r="G6" s="100"/>
    </row>
    <row r="7" s="95" customFormat="1" ht="16.5" customHeight="1" spans="1:7">
      <c r="A7" s="7"/>
      <c r="B7" s="103"/>
      <c r="C7" s="103"/>
      <c r="D7" s="101"/>
      <c r="E7" s="101"/>
      <c r="F7" s="101"/>
      <c r="G7" s="100"/>
    </row>
    <row r="8" s="96" customFormat="1" ht="17.4" spans="1:7">
      <c r="A8" s="61" t="s">
        <v>0</v>
      </c>
      <c r="B8" s="61"/>
      <c r="C8" s="61"/>
      <c r="D8" s="61"/>
      <c r="E8" s="61"/>
      <c r="F8" s="61"/>
      <c r="G8" s="104"/>
    </row>
    <row r="9" s="96" customFormat="1" ht="21.75" customHeight="1" spans="1:7">
      <c r="A9" s="105" t="s">
        <v>15</v>
      </c>
      <c r="B9" s="105"/>
      <c r="C9" s="105"/>
      <c r="D9" s="105"/>
      <c r="E9" s="105"/>
      <c r="F9" s="105"/>
      <c r="G9" s="104"/>
    </row>
    <row r="10" s="95" customFormat="1" ht="10.9" customHeight="1" spans="1:7">
      <c r="A10" s="106"/>
      <c r="B10" s="107"/>
      <c r="C10" s="107"/>
      <c r="D10" s="108"/>
      <c r="E10" s="108"/>
      <c r="F10" s="108"/>
      <c r="G10" s="100"/>
    </row>
    <row r="11" s="95" customFormat="1" ht="15.75" customHeight="1" spans="1:7">
      <c r="A11" s="109" t="s">
        <v>2</v>
      </c>
      <c r="B11" s="109"/>
      <c r="C11" s="109"/>
      <c r="D11" s="109"/>
      <c r="E11" s="109"/>
      <c r="F11" s="109"/>
      <c r="G11" s="100"/>
    </row>
    <row r="12" s="95" customFormat="1" ht="15.75" customHeight="1" spans="1:7">
      <c r="A12" s="110" t="s">
        <v>3</v>
      </c>
      <c r="B12" s="101"/>
      <c r="C12" s="101"/>
      <c r="D12" s="111"/>
      <c r="E12" s="111" t="s">
        <v>4</v>
      </c>
      <c r="F12" s="110" t="s">
        <v>5</v>
      </c>
      <c r="G12" s="100"/>
    </row>
    <row r="13" s="97" customFormat="1" ht="15.75" customHeight="1" spans="1:7">
      <c r="A13" s="111" t="str">
        <f>A50</f>
        <v>1. Mão-de-obra</v>
      </c>
      <c r="B13" s="112"/>
      <c r="C13" s="111"/>
      <c r="D13" s="111"/>
      <c r="E13" s="113">
        <f>+F152</f>
        <v>14680.4487452</v>
      </c>
      <c r="F13" s="114">
        <f>IFERROR(E13/$E$33,0)</f>
        <v>0.341134830114772</v>
      </c>
      <c r="G13" s="115"/>
    </row>
    <row r="14" s="95" customFormat="1" ht="15.75" customHeight="1" spans="1:7">
      <c r="A14" s="101" t="str">
        <f>A52</f>
        <v>1.1. Coletor Turno Dia</v>
      </c>
      <c r="B14" s="136"/>
      <c r="C14" s="101"/>
      <c r="D14" s="101"/>
      <c r="E14" s="137">
        <f>F63</f>
        <v>8463.7921872</v>
      </c>
      <c r="F14" s="138">
        <f>IFERROR(E14/$E$33,0)</f>
        <v>0.196676161609246</v>
      </c>
      <c r="G14" s="100"/>
    </row>
    <row r="15" s="95" customFormat="1" ht="15.75" customHeight="1" spans="1:7">
      <c r="A15" s="101" t="str">
        <f>A65</f>
        <v>1.2. Coletor Turno Noite</v>
      </c>
      <c r="B15" s="136"/>
      <c r="C15" s="101"/>
      <c r="D15" s="101"/>
      <c r="E15" s="137">
        <f>F82</f>
        <v>0</v>
      </c>
      <c r="F15" s="138">
        <f t="shared" ref="F15:F32" si="0">IFERROR(E15/$E$33,0)</f>
        <v>0</v>
      </c>
      <c r="G15" s="100"/>
    </row>
    <row r="16" s="95" customFormat="1" ht="15.75" customHeight="1" spans="1:7">
      <c r="A16" s="101" t="str">
        <f>A84</f>
        <v>1.3. Motorista Turno do Dia</v>
      </c>
      <c r="B16" s="136"/>
      <c r="C16" s="101"/>
      <c r="D16" s="101"/>
      <c r="E16" s="137">
        <f>F97</f>
        <v>3394.501558</v>
      </c>
      <c r="F16" s="138">
        <f t="shared" si="0"/>
        <v>0.0788792449339315</v>
      </c>
      <c r="G16" s="100"/>
    </row>
    <row r="17" s="95" customFormat="1" ht="15.75" customHeight="1" spans="1:7">
      <c r="A17" s="101" t="str">
        <f>A99</f>
        <v>1.4. Motorista Turno Noite</v>
      </c>
      <c r="B17" s="136"/>
      <c r="C17" s="101"/>
      <c r="D17" s="101"/>
      <c r="E17" s="137">
        <f>F118</f>
        <v>0</v>
      </c>
      <c r="F17" s="138">
        <f t="shared" si="0"/>
        <v>0</v>
      </c>
      <c r="G17" s="100"/>
    </row>
    <row r="18" s="95" customFormat="1" ht="15.75" customHeight="1" spans="1:7">
      <c r="A18" s="101" t="str">
        <f>A120</f>
        <v>1.5. Vale Transporte</v>
      </c>
      <c r="B18" s="136"/>
      <c r="C18" s="101"/>
      <c r="D18" s="101"/>
      <c r="E18" s="137">
        <f>F126</f>
        <v>698.544</v>
      </c>
      <c r="F18" s="138">
        <f t="shared" si="0"/>
        <v>0.0162323163892118</v>
      </c>
      <c r="G18" s="100"/>
    </row>
    <row r="19" s="95" customFormat="1" ht="15.75" customHeight="1" spans="1:7">
      <c r="A19" s="101" t="str">
        <f>A128</f>
        <v>1.6. Vale-refeição (diário)</v>
      </c>
      <c r="B19" s="136"/>
      <c r="C19" s="101"/>
      <c r="D19" s="101"/>
      <c r="E19" s="137">
        <f>F132</f>
        <v>1322.118</v>
      </c>
      <c r="F19" s="138">
        <f t="shared" si="0"/>
        <v>0.0307225281154399</v>
      </c>
      <c r="G19" s="100"/>
    </row>
    <row r="20" s="95" customFormat="1" ht="15.75" customHeight="1" spans="1:7">
      <c r="A20" s="101" t="str">
        <f>A134</f>
        <v>1.7. Auxílio Alimentação (mensal)</v>
      </c>
      <c r="B20" s="136"/>
      <c r="C20" s="101"/>
      <c r="D20" s="101"/>
      <c r="E20" s="137">
        <f>F138</f>
        <v>78.274</v>
      </c>
      <c r="F20" s="138">
        <f t="shared" si="0"/>
        <v>0.00181888089089472</v>
      </c>
      <c r="G20" s="100"/>
    </row>
    <row r="21" s="97" customFormat="1" ht="15.75" customHeight="1" spans="1:7">
      <c r="A21" s="116" t="str">
        <f>A154</f>
        <v>2. Uniformes e Equipamentos de Proteção Individual</v>
      </c>
      <c r="B21" s="116"/>
      <c r="C21" s="116"/>
      <c r="D21" s="111"/>
      <c r="E21" s="113">
        <f>+F186</f>
        <v>438.282833333333</v>
      </c>
      <c r="F21" s="114">
        <f t="shared" si="0"/>
        <v>0.0101845347159618</v>
      </c>
      <c r="G21" s="115"/>
    </row>
    <row r="22" s="97" customFormat="1" ht="15.75" customHeight="1" spans="1:7">
      <c r="A22" s="116" t="str">
        <f>A188</f>
        <v>3. Veículos e Equipamentos</v>
      </c>
      <c r="B22" s="117"/>
      <c r="C22" s="111"/>
      <c r="D22" s="111"/>
      <c r="E22" s="113">
        <f>+F267</f>
        <v>18395.8421483552</v>
      </c>
      <c r="F22" s="114">
        <f t="shared" si="0"/>
        <v>0.427470753450175</v>
      </c>
      <c r="G22" s="115"/>
    </row>
    <row r="23" s="95" customFormat="1" ht="15.75" customHeight="1" spans="1:7">
      <c r="A23" s="139" t="str">
        <f>A190</f>
        <v>3.1. Veículo Coletor Compactador 15 m³</v>
      </c>
      <c r="B23" s="141"/>
      <c r="C23" s="101"/>
      <c r="D23" s="101"/>
      <c r="E23" s="137">
        <f>SUM(E24:E29)</f>
        <v>18395.8421483552</v>
      </c>
      <c r="F23" s="138">
        <f t="shared" si="0"/>
        <v>0.427470753450174</v>
      </c>
      <c r="G23" s="100"/>
    </row>
    <row r="24" s="95" customFormat="1" ht="15.75" customHeight="1" spans="1:7">
      <c r="A24" s="139" t="str">
        <f>A192</f>
        <v>3.1.1. Depreciação</v>
      </c>
      <c r="B24" s="141"/>
      <c r="C24" s="101"/>
      <c r="D24" s="101"/>
      <c r="E24" s="137">
        <f>F206</f>
        <v>2663.02612683333</v>
      </c>
      <c r="F24" s="138">
        <f t="shared" si="0"/>
        <v>0.0618816891183602</v>
      </c>
      <c r="G24" s="100"/>
    </row>
    <row r="25" s="95" customFormat="1" ht="15.75" customHeight="1" spans="1:7">
      <c r="A25" s="139" t="str">
        <f>A208</f>
        <v>3.1.2. Remuneração do Capital</v>
      </c>
      <c r="B25" s="141"/>
      <c r="C25" s="101"/>
      <c r="D25" s="101"/>
      <c r="E25" s="137">
        <f>F222</f>
        <v>3970.02018818854</v>
      </c>
      <c r="F25" s="138">
        <f t="shared" si="0"/>
        <v>0.0922527768705113</v>
      </c>
      <c r="G25" s="100"/>
    </row>
    <row r="26" s="95" customFormat="1" ht="15.75" customHeight="1" spans="1:7">
      <c r="A26" s="139" t="str">
        <f>A224</f>
        <v>3.1.3. Impostos e Seguros</v>
      </c>
      <c r="B26" s="141"/>
      <c r="C26" s="101"/>
      <c r="D26" s="101"/>
      <c r="E26" s="137">
        <f>F230</f>
        <v>553.856333333333</v>
      </c>
      <c r="F26" s="138">
        <f t="shared" si="0"/>
        <v>0.0128701574086033</v>
      </c>
      <c r="G26" s="100"/>
    </row>
    <row r="27" s="95" customFormat="1" ht="15.75" customHeight="1" spans="1:7">
      <c r="A27" s="139" t="str">
        <f>A232</f>
        <v>3.1.4. Consumos</v>
      </c>
      <c r="B27" s="141"/>
      <c r="C27" s="101"/>
      <c r="D27" s="101"/>
      <c r="E27" s="137">
        <f>F250</f>
        <v>7571.564</v>
      </c>
      <c r="F27" s="138">
        <f t="shared" si="0"/>
        <v>0.175943136594353</v>
      </c>
      <c r="G27" s="100"/>
    </row>
    <row r="28" s="95" customFormat="1" ht="15.75" customHeight="1" spans="1:7">
      <c r="A28" s="139" t="str">
        <f>A252</f>
        <v>3.1.5. Manutenção</v>
      </c>
      <c r="B28" s="141"/>
      <c r="C28" s="101"/>
      <c r="D28" s="101"/>
      <c r="E28" s="137">
        <f>F255</f>
        <v>2864.4</v>
      </c>
      <c r="F28" s="138">
        <f t="shared" si="0"/>
        <v>0.0665610857229583</v>
      </c>
      <c r="G28" s="100"/>
    </row>
    <row r="29" s="95" customFormat="1" ht="15.75" customHeight="1" spans="1:7">
      <c r="A29" s="139" t="str">
        <f>A257</f>
        <v>3.1.6. Pneus</v>
      </c>
      <c r="B29" s="141"/>
      <c r="C29" s="101"/>
      <c r="D29" s="101"/>
      <c r="E29" s="137">
        <f>F264</f>
        <v>772.9755</v>
      </c>
      <c r="F29" s="138">
        <f t="shared" si="0"/>
        <v>0.0179619077353884</v>
      </c>
      <c r="G29" s="100"/>
    </row>
    <row r="30" s="97" customFormat="1" ht="15.75" customHeight="1" spans="1:7">
      <c r="A30" s="116" t="str">
        <f>A269</f>
        <v>4. Ferramentas e Materiais de Consumo</v>
      </c>
      <c r="B30" s="117"/>
      <c r="C30" s="111"/>
      <c r="D30" s="111"/>
      <c r="E30" s="113">
        <f>+F279</f>
        <v>17.4469166666667</v>
      </c>
      <c r="F30" s="114">
        <f t="shared" si="0"/>
        <v>0.000405420233155744</v>
      </c>
      <c r="G30" s="115"/>
    </row>
    <row r="31" s="97" customFormat="1" ht="15.75" customHeight="1" spans="1:7">
      <c r="A31" s="116" t="str">
        <f>A281</f>
        <v>5. Monitoramento da Frota</v>
      </c>
      <c r="B31" s="117"/>
      <c r="C31" s="111"/>
      <c r="D31" s="111"/>
      <c r="E31" s="113">
        <f>+F290</f>
        <v>56.2916666666667</v>
      </c>
      <c r="F31" s="114">
        <f t="shared" si="0"/>
        <v>0.00130806956098596</v>
      </c>
      <c r="G31" s="115"/>
    </row>
    <row r="32" s="97" customFormat="1" ht="15.75" customHeight="1" spans="1:7">
      <c r="A32" s="116" t="str">
        <f>A302</f>
        <v>6. Benefícios e Despesas Indiretas - BDI</v>
      </c>
      <c r="B32" s="117"/>
      <c r="C32" s="111"/>
      <c r="D32" s="111"/>
      <c r="E32" s="113">
        <f>+F308</f>
        <v>9445.84148832426</v>
      </c>
      <c r="F32" s="114">
        <f t="shared" si="0"/>
        <v>0.21949639192495</v>
      </c>
      <c r="G32" s="115"/>
    </row>
    <row r="33" s="95" customFormat="1" ht="15.75" customHeight="1" spans="1:7">
      <c r="A33" s="116" t="s">
        <v>16</v>
      </c>
      <c r="B33" s="117"/>
      <c r="C33" s="111"/>
      <c r="D33" s="111"/>
      <c r="E33" s="118">
        <f>E13+E21+E22+E30+E31+E32</f>
        <v>43034.1537985461</v>
      </c>
      <c r="F33" s="119">
        <f>F13+F21+F22+F30+F31+F32</f>
        <v>1</v>
      </c>
      <c r="G33" s="100"/>
    </row>
    <row r="34" spans="1:6">
      <c r="A34" s="7"/>
      <c r="B34" s="7"/>
      <c r="C34" s="7"/>
      <c r="D34" s="101"/>
      <c r="E34" s="101"/>
      <c r="F34" s="101"/>
    </row>
    <row r="35" spans="1:6">
      <c r="A35" s="7"/>
      <c r="B35" s="7"/>
      <c r="C35" s="7"/>
      <c r="D35" s="101"/>
      <c r="E35" s="101"/>
      <c r="F35" s="101"/>
    </row>
    <row r="36" s="95" customFormat="1" ht="15" customHeight="1" spans="1:7">
      <c r="A36" s="109" t="s">
        <v>17</v>
      </c>
      <c r="B36" s="109"/>
      <c r="C36" s="109"/>
      <c r="D36" s="109"/>
      <c r="E36" s="109"/>
      <c r="F36" s="101"/>
      <c r="G36" s="100"/>
    </row>
    <row r="37" s="95" customFormat="1" ht="15" customHeight="1" spans="1:7">
      <c r="A37" s="110" t="s">
        <v>18</v>
      </c>
      <c r="B37" s="110"/>
      <c r="C37" s="110"/>
      <c r="D37" s="110"/>
      <c r="E37" s="142" t="s">
        <v>19</v>
      </c>
      <c r="F37" s="101"/>
      <c r="G37" s="100"/>
    </row>
    <row r="38" s="95" customFormat="1" ht="15" customHeight="1" spans="1:7">
      <c r="A38" s="101" t="str">
        <f>+A52</f>
        <v>1.1. Coletor Turno Dia</v>
      </c>
      <c r="B38" s="101"/>
      <c r="C38" s="101"/>
      <c r="D38" s="102"/>
      <c r="E38" s="143">
        <f>C62</f>
        <v>3</v>
      </c>
      <c r="F38" s="101"/>
      <c r="G38" s="100"/>
    </row>
    <row r="39" s="95" customFormat="1" ht="15" customHeight="1" spans="1:7">
      <c r="A39" s="101" t="str">
        <f>+A65</f>
        <v>1.2. Coletor Turno Noite</v>
      </c>
      <c r="B39" s="101"/>
      <c r="C39" s="101"/>
      <c r="D39" s="102"/>
      <c r="E39" s="143">
        <f>C81</f>
        <v>0</v>
      </c>
      <c r="F39" s="101"/>
      <c r="G39" s="100"/>
    </row>
    <row r="40" s="95" customFormat="1" ht="15" customHeight="1" spans="1:7">
      <c r="A40" s="101" t="str">
        <f>+A84</f>
        <v>1.3. Motorista Turno do Dia</v>
      </c>
      <c r="B40" s="101"/>
      <c r="C40" s="101"/>
      <c r="D40" s="102"/>
      <c r="E40" s="143">
        <f>C96</f>
        <v>1</v>
      </c>
      <c r="F40" s="101"/>
      <c r="G40" s="100"/>
    </row>
    <row r="41" s="95" customFormat="1" ht="15" customHeight="1" spans="1:7">
      <c r="A41" s="101" t="str">
        <f>+A99</f>
        <v>1.4. Motorista Turno Noite</v>
      </c>
      <c r="B41" s="101"/>
      <c r="C41" s="101"/>
      <c r="D41" s="102"/>
      <c r="E41" s="143">
        <f>C117</f>
        <v>0</v>
      </c>
      <c r="F41" s="101"/>
      <c r="G41" s="100"/>
    </row>
    <row r="42" s="95" customFormat="1" ht="15" customHeight="1" spans="1:7">
      <c r="A42" s="111" t="s">
        <v>20</v>
      </c>
      <c r="B42" s="144"/>
      <c r="C42" s="144"/>
      <c r="D42" s="102"/>
      <c r="E42" s="145">
        <f>SUM(E38:E41)</f>
        <v>4</v>
      </c>
      <c r="F42" s="101"/>
      <c r="G42" s="100"/>
    </row>
    <row r="43" s="95" customFormat="1" ht="15" customHeight="1" spans="1:7">
      <c r="A43" s="111"/>
      <c r="B43" s="144"/>
      <c r="C43" s="101"/>
      <c r="D43" s="101"/>
      <c r="E43" s="101"/>
      <c r="F43" s="101"/>
      <c r="G43" s="100"/>
    </row>
    <row r="44" s="95" customFormat="1" ht="15" customHeight="1" spans="1:7">
      <c r="A44" s="146" t="s">
        <v>21</v>
      </c>
      <c r="B44" s="146"/>
      <c r="C44" s="146"/>
      <c r="D44" s="146"/>
      <c r="E44" s="142" t="s">
        <v>19</v>
      </c>
      <c r="F44" s="7"/>
      <c r="G44" s="100"/>
    </row>
    <row r="45" s="95" customFormat="1" ht="15" customHeight="1" spans="1:7">
      <c r="A45" s="101" t="str">
        <f>+A190</f>
        <v>3.1. Veículo Coletor Compactador 15 m³</v>
      </c>
      <c r="B45" s="101"/>
      <c r="C45" s="101"/>
      <c r="D45" s="7"/>
      <c r="E45" s="143">
        <f>C205</f>
        <v>1</v>
      </c>
      <c r="F45" s="7"/>
      <c r="G45" s="100"/>
    </row>
    <row r="46" s="95" customFormat="1" ht="15" customHeight="1" spans="1:7">
      <c r="A46" s="101"/>
      <c r="B46" s="101"/>
      <c r="C46" s="101"/>
      <c r="D46" s="7"/>
      <c r="E46" s="143"/>
      <c r="F46" s="7"/>
      <c r="G46" s="100"/>
    </row>
    <row r="47" s="95" customFormat="1" spans="1:7">
      <c r="A47" s="101"/>
      <c r="B47" s="101"/>
      <c r="C47" s="101"/>
      <c r="D47" s="7"/>
      <c r="E47" s="120"/>
      <c r="F47" s="7"/>
      <c r="G47" s="100"/>
    </row>
    <row r="48" s="97" customFormat="1" ht="15.75" customHeight="1" spans="1:7">
      <c r="A48" s="111" t="s">
        <v>22</v>
      </c>
      <c r="B48" s="147">
        <v>0.7</v>
      </c>
      <c r="C48" s="111"/>
      <c r="D48" s="4"/>
      <c r="E48" s="148"/>
      <c r="F48" s="4"/>
      <c r="G48" s="115"/>
    </row>
    <row r="49" s="95" customFormat="1" ht="15.75" customHeight="1" spans="1:7">
      <c r="A49" s="101"/>
      <c r="B49" s="101"/>
      <c r="C49" s="101"/>
      <c r="D49" s="7"/>
      <c r="E49" s="120"/>
      <c r="F49" s="7"/>
      <c r="G49" s="100"/>
    </row>
    <row r="50" ht="13.15" customHeight="1" spans="1:6">
      <c r="A50" s="4" t="s">
        <v>23</v>
      </c>
      <c r="B50" s="7"/>
      <c r="C50" s="7"/>
      <c r="D50" s="101"/>
      <c r="E50" s="101"/>
      <c r="F50" s="101"/>
    </row>
    <row r="51" ht="11.25" customHeight="1" spans="1:6">
      <c r="A51" s="7"/>
      <c r="B51" s="7"/>
      <c r="C51" s="7"/>
      <c r="D51" s="101"/>
      <c r="E51" s="101"/>
      <c r="F51" s="101"/>
    </row>
    <row r="52" ht="13.9" customHeight="1" spans="1:6">
      <c r="A52" s="7" t="s">
        <v>24</v>
      </c>
      <c r="B52" s="7"/>
      <c r="C52" s="7"/>
      <c r="D52" s="101"/>
      <c r="E52" s="101"/>
      <c r="F52" s="101"/>
    </row>
    <row r="53" ht="13.9" customHeight="1" spans="1:6">
      <c r="A53" s="121" t="s">
        <v>25</v>
      </c>
      <c r="B53" s="121" t="s">
        <v>26</v>
      </c>
      <c r="C53" s="121" t="s">
        <v>19</v>
      </c>
      <c r="D53" s="122" t="s">
        <v>27</v>
      </c>
      <c r="E53" s="122" t="s">
        <v>28</v>
      </c>
      <c r="F53" s="122" t="s">
        <v>29</v>
      </c>
    </row>
    <row r="54" ht="13.15" customHeight="1" spans="1:6">
      <c r="A54" s="7" t="s">
        <v>30</v>
      </c>
      <c r="B54" s="123" t="s">
        <v>31</v>
      </c>
      <c r="C54" s="123">
        <v>1</v>
      </c>
      <c r="D54" s="124">
        <v>1687.48</v>
      </c>
      <c r="E54" s="125">
        <f>C54*D54</f>
        <v>1687.48</v>
      </c>
      <c r="F54" s="101"/>
    </row>
    <row r="55" spans="1:7">
      <c r="A55" s="7" t="s">
        <v>32</v>
      </c>
      <c r="B55" s="123" t="s">
        <v>33</v>
      </c>
      <c r="C55" s="150"/>
      <c r="D55" s="125">
        <f>D54/220*2</f>
        <v>15.3407272727273</v>
      </c>
      <c r="E55" s="125">
        <f>C55*D55</f>
        <v>0</v>
      </c>
      <c r="F55" s="101"/>
      <c r="G55" s="100" t="s">
        <v>34</v>
      </c>
    </row>
    <row r="56" ht="13.15" customHeight="1" spans="1:7">
      <c r="A56" s="7" t="s">
        <v>35</v>
      </c>
      <c r="B56" s="123" t="s">
        <v>33</v>
      </c>
      <c r="C56" s="150"/>
      <c r="D56" s="125">
        <f>D54/220*1.5</f>
        <v>11.5055454545455</v>
      </c>
      <c r="E56" s="125">
        <f>C56*D56</f>
        <v>0</v>
      </c>
      <c r="F56" s="101"/>
      <c r="G56" s="100" t="s">
        <v>36</v>
      </c>
    </row>
    <row r="57" ht="13.15" customHeight="1" spans="1:7">
      <c r="A57" s="7" t="s">
        <v>37</v>
      </c>
      <c r="B57" s="123" t="s">
        <v>38</v>
      </c>
      <c r="C57" s="7"/>
      <c r="D57" s="125">
        <f>63/302*(SUM(E55:E56))</f>
        <v>0</v>
      </c>
      <c r="E57" s="125">
        <f>D57</f>
        <v>0</v>
      </c>
      <c r="F57" s="101"/>
      <c r="G57" s="100" t="s">
        <v>39</v>
      </c>
    </row>
    <row r="58" spans="1:6">
      <c r="A58" s="7" t="s">
        <v>40</v>
      </c>
      <c r="B58" s="123" t="s">
        <v>5</v>
      </c>
      <c r="C58" s="123">
        <v>40</v>
      </c>
      <c r="D58" s="153">
        <f>SUM(E54:E57)</f>
        <v>1687.48</v>
      </c>
      <c r="E58" s="125">
        <f>C58*D58/100</f>
        <v>674.992</v>
      </c>
      <c r="F58" s="101"/>
    </row>
    <row r="59" spans="1:6">
      <c r="A59" s="4" t="s">
        <v>41</v>
      </c>
      <c r="B59" s="146"/>
      <c r="C59" s="146"/>
      <c r="D59" s="110"/>
      <c r="E59" s="110">
        <f>SUM(E54:E58)</f>
        <v>2362.472</v>
      </c>
      <c r="F59" s="101"/>
    </row>
    <row r="60" spans="1:6">
      <c r="A60" s="7" t="s">
        <v>42</v>
      </c>
      <c r="B60" s="123" t="s">
        <v>5</v>
      </c>
      <c r="C60" s="128">
        <v>70.6</v>
      </c>
      <c r="D60" s="125">
        <f>E59</f>
        <v>2362.472</v>
      </c>
      <c r="E60" s="125">
        <f>D60*C60/100</f>
        <v>1667.905232</v>
      </c>
      <c r="F60" s="101"/>
    </row>
    <row r="61" spans="1:6">
      <c r="A61" s="4" t="s">
        <v>43</v>
      </c>
      <c r="B61" s="146"/>
      <c r="C61" s="146"/>
      <c r="D61" s="110"/>
      <c r="E61" s="110">
        <f>E59+E60</f>
        <v>4030.377232</v>
      </c>
      <c r="F61" s="101"/>
    </row>
    <row r="62" spans="1:6">
      <c r="A62" s="7" t="s">
        <v>44</v>
      </c>
      <c r="B62" s="123" t="s">
        <v>45</v>
      </c>
      <c r="C62" s="152">
        <v>3</v>
      </c>
      <c r="D62" s="125">
        <f>E61</f>
        <v>4030.377232</v>
      </c>
      <c r="E62" s="125">
        <f>C62*D62</f>
        <v>12091.131696</v>
      </c>
      <c r="F62" s="101"/>
    </row>
    <row r="63" ht="13.9" customHeight="1" spans="1:6">
      <c r="A63" s="7"/>
      <c r="B63" s="7"/>
      <c r="C63" s="7"/>
      <c r="D63" s="154" t="s">
        <v>46</v>
      </c>
      <c r="E63" s="101">
        <v>0.7</v>
      </c>
      <c r="F63" s="129">
        <f>E62*E63</f>
        <v>8463.7921872</v>
      </c>
    </row>
    <row r="64" ht="11.25" customHeight="1" spans="1:6">
      <c r="A64" s="7"/>
      <c r="B64" s="7"/>
      <c r="C64" s="7"/>
      <c r="D64" s="101"/>
      <c r="E64" s="101"/>
      <c r="F64" s="101"/>
    </row>
    <row r="65" spans="1:6">
      <c r="A65" s="7" t="s">
        <v>47</v>
      </c>
      <c r="B65" s="7"/>
      <c r="C65" s="7"/>
      <c r="D65" s="101"/>
      <c r="E65" s="101"/>
      <c r="F65" s="101"/>
    </row>
    <row r="66" spans="1:6">
      <c r="A66" s="121" t="s">
        <v>25</v>
      </c>
      <c r="B66" s="121" t="s">
        <v>26</v>
      </c>
      <c r="C66" s="121" t="s">
        <v>19</v>
      </c>
      <c r="D66" s="122" t="s">
        <v>27</v>
      </c>
      <c r="E66" s="122" t="s">
        <v>28</v>
      </c>
      <c r="F66" s="122" t="s">
        <v>29</v>
      </c>
    </row>
    <row r="67" spans="1:6">
      <c r="A67" s="7" t="s">
        <v>30</v>
      </c>
      <c r="B67" s="123" t="s">
        <v>31</v>
      </c>
      <c r="C67" s="171"/>
      <c r="D67" s="153"/>
      <c r="E67" s="125">
        <f>C67*D67</f>
        <v>0</v>
      </c>
      <c r="F67" s="101"/>
    </row>
    <row r="68" spans="1:6">
      <c r="A68" s="7" t="s">
        <v>48</v>
      </c>
      <c r="B68" s="123" t="s">
        <v>49</v>
      </c>
      <c r="C68" s="200"/>
      <c r="D68" s="153"/>
      <c r="E68" s="125"/>
      <c r="F68" s="101"/>
    </row>
    <row r="69" spans="1:6">
      <c r="A69" s="7"/>
      <c r="B69" s="123" t="s">
        <v>50</v>
      </c>
      <c r="C69" s="201">
        <f>C68*8/7</f>
        <v>0</v>
      </c>
      <c r="D69" s="153">
        <f>D67/220*0.2</f>
        <v>0</v>
      </c>
      <c r="E69" s="125">
        <f>C68*D69</f>
        <v>0</v>
      </c>
      <c r="F69" s="101"/>
    </row>
    <row r="70" spans="1:7">
      <c r="A70" s="7" t="s">
        <v>32</v>
      </c>
      <c r="B70" s="123" t="s">
        <v>33</v>
      </c>
      <c r="C70" s="200"/>
      <c r="D70" s="153">
        <f>D67/220*2</f>
        <v>0</v>
      </c>
      <c r="E70" s="125">
        <f>C70*D70</f>
        <v>0</v>
      </c>
      <c r="F70" s="101"/>
      <c r="G70" s="100" t="s">
        <v>34</v>
      </c>
    </row>
    <row r="71" spans="1:7">
      <c r="A71" s="7" t="s">
        <v>51</v>
      </c>
      <c r="B71" s="123" t="s">
        <v>49</v>
      </c>
      <c r="C71" s="200"/>
      <c r="D71" s="153"/>
      <c r="E71" s="125"/>
      <c r="F71" s="101"/>
      <c r="G71" s="100" t="s">
        <v>52</v>
      </c>
    </row>
    <row r="72" spans="1:7">
      <c r="A72" s="7"/>
      <c r="B72" s="123" t="s">
        <v>50</v>
      </c>
      <c r="C72" s="201">
        <f>C71*8/7</f>
        <v>0</v>
      </c>
      <c r="D72" s="153">
        <f>D67/220*2*1.2</f>
        <v>0</v>
      </c>
      <c r="E72" s="125">
        <f>C72*D72</f>
        <v>0</v>
      </c>
      <c r="F72" s="101"/>
      <c r="G72" s="100" t="s">
        <v>52</v>
      </c>
    </row>
    <row r="73" spans="1:7">
      <c r="A73" s="7" t="s">
        <v>35</v>
      </c>
      <c r="B73" s="123" t="s">
        <v>33</v>
      </c>
      <c r="C73" s="200"/>
      <c r="D73" s="153">
        <f>D67/220*1.5</f>
        <v>0</v>
      </c>
      <c r="E73" s="125">
        <f>C73*D73</f>
        <v>0</v>
      </c>
      <c r="F73" s="101"/>
      <c r="G73" s="100" t="s">
        <v>36</v>
      </c>
    </row>
    <row r="74" spans="1:7">
      <c r="A74" s="7" t="s">
        <v>53</v>
      </c>
      <c r="B74" s="123" t="s">
        <v>49</v>
      </c>
      <c r="C74" s="200"/>
      <c r="D74" s="153"/>
      <c r="E74" s="125"/>
      <c r="F74" s="101"/>
      <c r="G74" s="100" t="s">
        <v>54</v>
      </c>
    </row>
    <row r="75" spans="1:7">
      <c r="A75" s="7"/>
      <c r="B75" s="123" t="s">
        <v>50</v>
      </c>
      <c r="C75" s="153">
        <f>C74*8/7</f>
        <v>0</v>
      </c>
      <c r="D75" s="153">
        <f>D67/220*1.5*1.2</f>
        <v>0</v>
      </c>
      <c r="E75" s="125">
        <f>C75*D75</f>
        <v>0</v>
      </c>
      <c r="F75" s="101"/>
      <c r="G75" s="100" t="s">
        <v>54</v>
      </c>
    </row>
    <row r="76" ht="13.15" customHeight="1" spans="1:7">
      <c r="A76" s="7" t="s">
        <v>37</v>
      </c>
      <c r="B76" s="123" t="s">
        <v>38</v>
      </c>
      <c r="C76" s="155"/>
      <c r="D76" s="153">
        <f>63/302*(SUM(E70:E75))</f>
        <v>0</v>
      </c>
      <c r="E76" s="125">
        <f>D76</f>
        <v>0</v>
      </c>
      <c r="F76" s="101"/>
      <c r="G76" s="100" t="s">
        <v>39</v>
      </c>
    </row>
    <row r="77" spans="1:6">
      <c r="A77" s="7" t="s">
        <v>40</v>
      </c>
      <c r="B77" s="123" t="s">
        <v>5</v>
      </c>
      <c r="C77" s="171"/>
      <c r="D77" s="153">
        <f>SUM(E67:E76)</f>
        <v>0</v>
      </c>
      <c r="E77" s="125">
        <f>C77*D77/100</f>
        <v>0</v>
      </c>
      <c r="F77" s="101"/>
    </row>
    <row r="78" spans="1:6">
      <c r="A78" s="4" t="s">
        <v>41</v>
      </c>
      <c r="B78" s="146"/>
      <c r="C78" s="202"/>
      <c r="D78" s="130"/>
      <c r="E78" s="110">
        <f>SUM(E67:E77)</f>
        <v>0</v>
      </c>
      <c r="F78" s="101"/>
    </row>
    <row r="79" spans="1:6">
      <c r="A79" s="7" t="s">
        <v>42</v>
      </c>
      <c r="B79" s="123" t="s">
        <v>5</v>
      </c>
      <c r="C79" s="153"/>
      <c r="D79" s="153">
        <f>E78</f>
        <v>0</v>
      </c>
      <c r="E79" s="125">
        <f>D79*C79/100</f>
        <v>0</v>
      </c>
      <c r="F79" s="101"/>
    </row>
    <row r="80" spans="1:6">
      <c r="A80" s="4" t="s">
        <v>43</v>
      </c>
      <c r="B80" s="146"/>
      <c r="C80" s="202"/>
      <c r="D80" s="130"/>
      <c r="E80" s="110">
        <f>E78+E79</f>
        <v>0</v>
      </c>
      <c r="F80" s="101"/>
    </row>
    <row r="81" spans="1:6">
      <c r="A81" s="7" t="s">
        <v>44</v>
      </c>
      <c r="B81" s="123" t="s">
        <v>45</v>
      </c>
      <c r="C81" s="171"/>
      <c r="D81" s="153">
        <f>E80</f>
        <v>0</v>
      </c>
      <c r="E81" s="125">
        <f>C81*D81</f>
        <v>0</v>
      </c>
      <c r="F81" s="101"/>
    </row>
    <row r="82" spans="1:6">
      <c r="A82" s="7"/>
      <c r="B82" s="7"/>
      <c r="C82" s="155"/>
      <c r="D82" s="203" t="s">
        <v>46</v>
      </c>
      <c r="E82" s="101"/>
      <c r="F82" s="129">
        <f>E81*E82</f>
        <v>0</v>
      </c>
    </row>
    <row r="83" ht="11.25" customHeight="1" spans="1:6">
      <c r="A83" s="7"/>
      <c r="B83" s="7"/>
      <c r="C83" s="7"/>
      <c r="D83" s="101"/>
      <c r="E83" s="101"/>
      <c r="F83" s="101"/>
    </row>
    <row r="84" spans="1:6">
      <c r="A84" s="7" t="s">
        <v>55</v>
      </c>
      <c r="B84" s="7"/>
      <c r="C84" s="7"/>
      <c r="D84" s="101"/>
      <c r="E84" s="101"/>
      <c r="F84" s="101"/>
    </row>
    <row r="85" s="98" customFormat="1" ht="13.15" customHeight="1" spans="1:7">
      <c r="A85" s="121" t="s">
        <v>25</v>
      </c>
      <c r="B85" s="121" t="s">
        <v>26</v>
      </c>
      <c r="C85" s="121" t="s">
        <v>19</v>
      </c>
      <c r="D85" s="122" t="s">
        <v>27</v>
      </c>
      <c r="E85" s="122" t="s">
        <v>28</v>
      </c>
      <c r="F85" s="122" t="s">
        <v>29</v>
      </c>
      <c r="G85" s="100"/>
    </row>
    <row r="86" spans="1:6">
      <c r="A86" s="7" t="s">
        <v>56</v>
      </c>
      <c r="B86" s="123" t="s">
        <v>31</v>
      </c>
      <c r="C86" s="123">
        <v>1</v>
      </c>
      <c r="D86" s="149">
        <v>2030.35</v>
      </c>
      <c r="E86" s="125">
        <f>C86*D86</f>
        <v>2030.35</v>
      </c>
      <c r="F86" s="101"/>
    </row>
    <row r="87" spans="1:6">
      <c r="A87" s="7" t="s">
        <v>57</v>
      </c>
      <c r="B87" s="123" t="s">
        <v>31</v>
      </c>
      <c r="C87" s="123">
        <v>1</v>
      </c>
      <c r="D87" s="149">
        <v>1302</v>
      </c>
      <c r="E87" s="125"/>
      <c r="F87" s="101"/>
    </row>
    <row r="88" spans="1:7">
      <c r="A88" s="7" t="s">
        <v>32</v>
      </c>
      <c r="B88" s="123" t="s">
        <v>33</v>
      </c>
      <c r="C88" s="150"/>
      <c r="D88" s="125">
        <f>D86/220*2</f>
        <v>18.4577272727273</v>
      </c>
      <c r="E88" s="125">
        <f>C88*D88</f>
        <v>0</v>
      </c>
      <c r="F88" s="101"/>
      <c r="G88" s="100" t="s">
        <v>34</v>
      </c>
    </row>
    <row r="89" spans="1:7">
      <c r="A89" s="7" t="s">
        <v>35</v>
      </c>
      <c r="B89" s="123" t="s">
        <v>33</v>
      </c>
      <c r="C89" s="150"/>
      <c r="D89" s="125">
        <f>D86/220*1.5</f>
        <v>13.8432954545455</v>
      </c>
      <c r="E89" s="125">
        <f>C89*D89</f>
        <v>0</v>
      </c>
      <c r="F89" s="101"/>
      <c r="G89" s="100" t="s">
        <v>36</v>
      </c>
    </row>
    <row r="90" ht="13.15" customHeight="1" spans="1:7">
      <c r="A90" s="7" t="s">
        <v>37</v>
      </c>
      <c r="B90" s="123" t="s">
        <v>38</v>
      </c>
      <c r="C90" s="7"/>
      <c r="D90" s="125">
        <f>63/302*(SUM(E88:E89))</f>
        <v>0</v>
      </c>
      <c r="E90" s="125">
        <f>D90</f>
        <v>0</v>
      </c>
      <c r="F90" s="101"/>
      <c r="G90" s="100" t="s">
        <v>39</v>
      </c>
    </row>
    <row r="91" spans="1:6">
      <c r="A91" s="7" t="s">
        <v>58</v>
      </c>
      <c r="B91" s="123"/>
      <c r="C91" s="151">
        <v>2</v>
      </c>
      <c r="D91" s="125"/>
      <c r="E91" s="125"/>
      <c r="F91" s="101"/>
    </row>
    <row r="92" spans="1:6">
      <c r="A92" s="7" t="s">
        <v>40</v>
      </c>
      <c r="B92" s="123" t="s">
        <v>5</v>
      </c>
      <c r="C92" s="152">
        <v>40</v>
      </c>
      <c r="D92" s="153">
        <f>IF(C91=2,SUM(E86:E90),IF(C91=1,(SUM(E86:E90))*D87/D86,0))</f>
        <v>2030.35</v>
      </c>
      <c r="E92" s="125">
        <f>C92*D92/100</f>
        <v>812.14</v>
      </c>
      <c r="F92" s="101"/>
    </row>
    <row r="93" s="97" customFormat="1" spans="1:7">
      <c r="A93" s="4" t="s">
        <v>41</v>
      </c>
      <c r="B93" s="146"/>
      <c r="C93" s="146"/>
      <c r="D93" s="110"/>
      <c r="E93" s="110">
        <f>SUM(E86:E92)</f>
        <v>2842.49</v>
      </c>
      <c r="F93" s="111"/>
      <c r="G93" s="115"/>
    </row>
    <row r="94" spans="1:6">
      <c r="A94" s="7" t="s">
        <v>42</v>
      </c>
      <c r="B94" s="123" t="s">
        <v>5</v>
      </c>
      <c r="C94" s="128">
        <v>70.6</v>
      </c>
      <c r="D94" s="125">
        <f>E93</f>
        <v>2842.49</v>
      </c>
      <c r="E94" s="125">
        <f>D94*C94/100</f>
        <v>2006.79794</v>
      </c>
      <c r="F94" s="101"/>
    </row>
    <row r="95" s="97" customFormat="1" spans="1:7">
      <c r="A95" s="4" t="s">
        <v>59</v>
      </c>
      <c r="B95" s="146"/>
      <c r="C95" s="146"/>
      <c r="D95" s="110"/>
      <c r="E95" s="110">
        <f>E93+E94</f>
        <v>4849.28794</v>
      </c>
      <c r="F95" s="111"/>
      <c r="G95" s="115"/>
    </row>
    <row r="96" spans="1:6">
      <c r="A96" s="7" t="s">
        <v>44</v>
      </c>
      <c r="B96" s="123" t="s">
        <v>45</v>
      </c>
      <c r="C96" s="152">
        <v>1</v>
      </c>
      <c r="D96" s="125">
        <f>E95</f>
        <v>4849.28794</v>
      </c>
      <c r="E96" s="125">
        <f>C96*D96</f>
        <v>4849.28794</v>
      </c>
      <c r="F96" s="101"/>
    </row>
    <row r="97" spans="1:6">
      <c r="A97" s="7"/>
      <c r="B97" s="7"/>
      <c r="C97" s="7"/>
      <c r="D97" s="154" t="s">
        <v>46</v>
      </c>
      <c r="E97" s="101">
        <v>0.7</v>
      </c>
      <c r="F97" s="129">
        <f>E96*E97</f>
        <v>3394.501558</v>
      </c>
    </row>
    <row r="98" ht="11.25" customHeight="1" spans="1:6">
      <c r="A98" s="7"/>
      <c r="B98" s="7"/>
      <c r="C98" s="7"/>
      <c r="D98" s="101"/>
      <c r="E98" s="101"/>
      <c r="F98" s="101"/>
    </row>
    <row r="99" spans="1:6">
      <c r="A99" s="7" t="s">
        <v>60</v>
      </c>
      <c r="B99" s="7"/>
      <c r="C99" s="7"/>
      <c r="D99" s="101"/>
      <c r="E99" s="101"/>
      <c r="F99" s="101"/>
    </row>
    <row r="100" spans="1:6">
      <c r="A100" s="121" t="s">
        <v>25</v>
      </c>
      <c r="B100" s="121" t="s">
        <v>26</v>
      </c>
      <c r="C100" s="121" t="s">
        <v>19</v>
      </c>
      <c r="D100" s="122" t="s">
        <v>27</v>
      </c>
      <c r="E100" s="122" t="s">
        <v>28</v>
      </c>
      <c r="F100" s="122" t="s">
        <v>29</v>
      </c>
    </row>
    <row r="101" spans="1:6">
      <c r="A101" s="7" t="s">
        <v>30</v>
      </c>
      <c r="B101" s="123" t="s">
        <v>31</v>
      </c>
      <c r="C101" s="123"/>
      <c r="D101" s="125"/>
      <c r="E101" s="125">
        <f>C101*D101</f>
        <v>0</v>
      </c>
      <c r="F101" s="101"/>
    </row>
    <row r="102" spans="1:6">
      <c r="A102" s="7" t="s">
        <v>61</v>
      </c>
      <c r="B102" s="123" t="s">
        <v>31</v>
      </c>
      <c r="C102" s="123"/>
      <c r="D102" s="125"/>
      <c r="E102" s="125"/>
      <c r="F102" s="101"/>
    </row>
    <row r="103" spans="1:6">
      <c r="A103" s="7" t="s">
        <v>48</v>
      </c>
      <c r="B103" s="123" t="s">
        <v>49</v>
      </c>
      <c r="C103" s="200"/>
      <c r="D103" s="7"/>
      <c r="E103" s="7"/>
      <c r="F103" s="101"/>
    </row>
    <row r="104" spans="1:6">
      <c r="A104" s="7"/>
      <c r="B104" s="123" t="s">
        <v>50</v>
      </c>
      <c r="C104" s="153">
        <f>C103*8/7</f>
        <v>0</v>
      </c>
      <c r="D104" s="125">
        <f>D101/220*0.2</f>
        <v>0</v>
      </c>
      <c r="E104" s="125">
        <f>C103*D104</f>
        <v>0</v>
      </c>
      <c r="F104" s="101"/>
    </row>
    <row r="105" spans="1:7">
      <c r="A105" s="7" t="s">
        <v>32</v>
      </c>
      <c r="B105" s="123" t="s">
        <v>33</v>
      </c>
      <c r="C105" s="200"/>
      <c r="D105" s="125">
        <f>D101/220*2</f>
        <v>0</v>
      </c>
      <c r="E105" s="125">
        <f>C105*D105</f>
        <v>0</v>
      </c>
      <c r="F105" s="101"/>
      <c r="G105" s="100" t="s">
        <v>34</v>
      </c>
    </row>
    <row r="106" spans="1:7">
      <c r="A106" s="7" t="s">
        <v>51</v>
      </c>
      <c r="B106" s="123" t="s">
        <v>49</v>
      </c>
      <c r="C106" s="200"/>
      <c r="D106" s="125"/>
      <c r="E106" s="125"/>
      <c r="F106" s="101"/>
      <c r="G106" s="100" t="s">
        <v>52</v>
      </c>
    </row>
    <row r="107" spans="1:7">
      <c r="A107" s="7"/>
      <c r="B107" s="123" t="s">
        <v>50</v>
      </c>
      <c r="C107" s="153">
        <f>C106*8/7</f>
        <v>0</v>
      </c>
      <c r="D107" s="125">
        <f>D101/220*2*1.2</f>
        <v>0</v>
      </c>
      <c r="E107" s="125">
        <f>C107*D107</f>
        <v>0</v>
      </c>
      <c r="F107" s="101"/>
      <c r="G107" s="100" t="s">
        <v>52</v>
      </c>
    </row>
    <row r="108" spans="1:7">
      <c r="A108" s="7" t="s">
        <v>35</v>
      </c>
      <c r="B108" s="123" t="s">
        <v>33</v>
      </c>
      <c r="C108" s="200"/>
      <c r="D108" s="125">
        <f>D101/220*1.5</f>
        <v>0</v>
      </c>
      <c r="E108" s="125">
        <f>C108*D108</f>
        <v>0</v>
      </c>
      <c r="F108" s="101"/>
      <c r="G108" s="100" t="s">
        <v>36</v>
      </c>
    </row>
    <row r="109" spans="1:7">
      <c r="A109" s="7" t="s">
        <v>53</v>
      </c>
      <c r="B109" s="123" t="s">
        <v>49</v>
      </c>
      <c r="C109" s="200"/>
      <c r="D109" s="125"/>
      <c r="E109" s="125"/>
      <c r="F109" s="101"/>
      <c r="G109" s="100" t="s">
        <v>54</v>
      </c>
    </row>
    <row r="110" spans="1:7">
      <c r="A110" s="7"/>
      <c r="B110" s="123" t="s">
        <v>50</v>
      </c>
      <c r="C110" s="153">
        <f>C109*8/7</f>
        <v>0</v>
      </c>
      <c r="D110" s="125">
        <f>D101/220*1.5*1.2</f>
        <v>0</v>
      </c>
      <c r="E110" s="125">
        <f>C110*D110</f>
        <v>0</v>
      </c>
      <c r="F110" s="101"/>
      <c r="G110" s="100" t="s">
        <v>54</v>
      </c>
    </row>
    <row r="111" ht="13.15" customHeight="1" spans="1:7">
      <c r="A111" s="7" t="s">
        <v>37</v>
      </c>
      <c r="B111" s="123" t="s">
        <v>38</v>
      </c>
      <c r="C111" s="155"/>
      <c r="D111" s="125">
        <f>63/302*(SUM(E105:E110))</f>
        <v>0</v>
      </c>
      <c r="E111" s="125">
        <f>D111</f>
        <v>0</v>
      </c>
      <c r="F111" s="101"/>
      <c r="G111" s="100" t="s">
        <v>39</v>
      </c>
    </row>
    <row r="112" spans="1:6">
      <c r="A112" s="7" t="s">
        <v>58</v>
      </c>
      <c r="B112" s="123"/>
      <c r="C112" s="167"/>
      <c r="D112" s="125"/>
      <c r="E112" s="125"/>
      <c r="F112" s="101"/>
    </row>
    <row r="113" spans="1:6">
      <c r="A113" s="7" t="s">
        <v>40</v>
      </c>
      <c r="B113" s="123" t="s">
        <v>5</v>
      </c>
      <c r="C113" s="153"/>
      <c r="D113" s="153">
        <f>IF(C112=2,SUM(E101:E111),IF(C112=1,SUM(E101:E111)*D102/D101,0))</f>
        <v>0</v>
      </c>
      <c r="E113" s="125">
        <f>C113*D113/100</f>
        <v>0</v>
      </c>
      <c r="F113" s="101"/>
    </row>
    <row r="114" s="97" customFormat="1" spans="1:7">
      <c r="A114" s="4" t="s">
        <v>41</v>
      </c>
      <c r="B114" s="146"/>
      <c r="C114" s="202"/>
      <c r="D114" s="110"/>
      <c r="E114" s="110">
        <f>SUM(E101:E113)</f>
        <v>0</v>
      </c>
      <c r="F114" s="111"/>
      <c r="G114" s="115"/>
    </row>
    <row r="115" spans="1:6">
      <c r="A115" s="7" t="s">
        <v>42</v>
      </c>
      <c r="B115" s="123" t="s">
        <v>5</v>
      </c>
      <c r="C115" s="153"/>
      <c r="D115" s="125">
        <f>E114</f>
        <v>0</v>
      </c>
      <c r="E115" s="125">
        <f>D115*C115/100</f>
        <v>0</v>
      </c>
      <c r="F115" s="101"/>
    </row>
    <row r="116" s="97" customFormat="1" spans="1:7">
      <c r="A116" s="4" t="s">
        <v>59</v>
      </c>
      <c r="B116" s="146"/>
      <c r="C116" s="202"/>
      <c r="D116" s="110"/>
      <c r="E116" s="110">
        <f>E114+E115</f>
        <v>0</v>
      </c>
      <c r="F116" s="111"/>
      <c r="G116" s="115"/>
    </row>
    <row r="117" spans="1:6">
      <c r="A117" s="7" t="s">
        <v>44</v>
      </c>
      <c r="B117" s="123" t="s">
        <v>45</v>
      </c>
      <c r="C117" s="171"/>
      <c r="D117" s="125">
        <f>E116</f>
        <v>0</v>
      </c>
      <c r="E117" s="125">
        <f>C117*D117</f>
        <v>0</v>
      </c>
      <c r="F117" s="101"/>
    </row>
    <row r="118" spans="1:6">
      <c r="A118" s="7"/>
      <c r="B118" s="7"/>
      <c r="C118" s="7"/>
      <c r="D118" s="154" t="s">
        <v>46</v>
      </c>
      <c r="E118" s="101"/>
      <c r="F118" s="129">
        <f>E117*E118</f>
        <v>0</v>
      </c>
    </row>
    <row r="119" ht="11.25" customHeight="1" spans="1:7">
      <c r="A119" s="7"/>
      <c r="B119" s="7"/>
      <c r="C119" s="7"/>
      <c r="D119" s="101"/>
      <c r="E119" s="101"/>
      <c r="F119" s="101"/>
      <c r="G119" s="99"/>
    </row>
    <row r="120" spans="1:7">
      <c r="A120" s="155" t="s">
        <v>62</v>
      </c>
      <c r="B120" s="156"/>
      <c r="C120" s="7"/>
      <c r="D120" s="7"/>
      <c r="E120" s="7"/>
      <c r="F120" s="101"/>
      <c r="G120" s="99"/>
    </row>
    <row r="121" spans="1:7">
      <c r="A121" s="121" t="s">
        <v>25</v>
      </c>
      <c r="B121" s="121" t="s">
        <v>26</v>
      </c>
      <c r="C121" s="121" t="s">
        <v>19</v>
      </c>
      <c r="D121" s="122" t="s">
        <v>27</v>
      </c>
      <c r="E121" s="122" t="s">
        <v>28</v>
      </c>
      <c r="F121" s="122" t="s">
        <v>29</v>
      </c>
      <c r="G121" s="99"/>
    </row>
    <row r="122" spans="1:7">
      <c r="A122" s="7" t="s">
        <v>63</v>
      </c>
      <c r="B122" s="123" t="s">
        <v>38</v>
      </c>
      <c r="C122" s="120">
        <v>1</v>
      </c>
      <c r="D122" s="157">
        <v>6</v>
      </c>
      <c r="E122" s="125"/>
      <c r="F122" s="101"/>
      <c r="G122" s="99"/>
    </row>
    <row r="123" spans="1:7">
      <c r="A123" s="7" t="s">
        <v>64</v>
      </c>
      <c r="B123" s="123" t="s">
        <v>65</v>
      </c>
      <c r="C123" s="158">
        <v>21</v>
      </c>
      <c r="D123" s="125"/>
      <c r="E123" s="125"/>
      <c r="F123" s="101"/>
      <c r="G123" s="99"/>
    </row>
    <row r="124" spans="1:7">
      <c r="A124" s="7" t="s">
        <v>66</v>
      </c>
      <c r="B124" s="123" t="s">
        <v>67</v>
      </c>
      <c r="C124" s="159">
        <f>$C$123*2*(C62+C81)</f>
        <v>126</v>
      </c>
      <c r="D124" s="149">
        <f>D122-6%</f>
        <v>5.94</v>
      </c>
      <c r="E124" s="125">
        <f>IFERROR(C124*D124,"-")</f>
        <v>748.44</v>
      </c>
      <c r="F124" s="101"/>
      <c r="G124" s="99"/>
    </row>
    <row r="125" spans="1:7">
      <c r="A125" s="7" t="s">
        <v>68</v>
      </c>
      <c r="B125" s="123" t="s">
        <v>67</v>
      </c>
      <c r="C125" s="159">
        <f>$C$123*2*(C96+C117)</f>
        <v>42</v>
      </c>
      <c r="D125" s="149">
        <f>D122-6%</f>
        <v>5.94</v>
      </c>
      <c r="E125" s="125">
        <f>IFERROR(C125*D125,"-")</f>
        <v>249.48</v>
      </c>
      <c r="F125" s="101"/>
      <c r="G125" s="99"/>
    </row>
    <row r="126" spans="1:7">
      <c r="A126" s="7"/>
      <c r="B126" s="7"/>
      <c r="C126" s="7"/>
      <c r="D126" s="154" t="s">
        <v>46</v>
      </c>
      <c r="E126" s="101">
        <v>0.7</v>
      </c>
      <c r="F126" s="127">
        <f>SUM(E124:E125)*E126</f>
        <v>698.544</v>
      </c>
      <c r="G126" s="99"/>
    </row>
    <row r="127" ht="11.25" customHeight="1" spans="1:7">
      <c r="A127" s="7"/>
      <c r="B127" s="7"/>
      <c r="C127" s="7"/>
      <c r="D127" s="101"/>
      <c r="E127" s="101"/>
      <c r="F127" s="101"/>
      <c r="G127" s="99"/>
    </row>
    <row r="128" spans="1:7">
      <c r="A128" s="7" t="s">
        <v>69</v>
      </c>
      <c r="B128" s="7"/>
      <c r="C128" s="7"/>
      <c r="D128" s="101"/>
      <c r="E128" s="101"/>
      <c r="F128" s="160"/>
      <c r="G128" s="99"/>
    </row>
    <row r="129" spans="1:7">
      <c r="A129" s="121" t="s">
        <v>25</v>
      </c>
      <c r="B129" s="121" t="s">
        <v>26</v>
      </c>
      <c r="C129" s="121" t="s">
        <v>19</v>
      </c>
      <c r="D129" s="122" t="s">
        <v>27</v>
      </c>
      <c r="E129" s="122" t="s">
        <v>28</v>
      </c>
      <c r="F129" s="122" t="s">
        <v>29</v>
      </c>
      <c r="G129" s="99"/>
    </row>
    <row r="130" spans="1:7">
      <c r="A130" s="7" t="str">
        <f>+A124</f>
        <v>Coletor</v>
      </c>
      <c r="B130" s="123" t="s">
        <v>70</v>
      </c>
      <c r="C130" s="161">
        <f>C123*(E38+E39)</f>
        <v>63</v>
      </c>
      <c r="D130" s="162">
        <v>22</v>
      </c>
      <c r="E130" s="101">
        <f>C130*D130</f>
        <v>1386</v>
      </c>
      <c r="F130" s="160"/>
      <c r="G130" s="99"/>
    </row>
    <row r="131" spans="1:7">
      <c r="A131" s="7" t="s">
        <v>71</v>
      </c>
      <c r="B131" s="123" t="s">
        <v>70</v>
      </c>
      <c r="C131" s="161">
        <f>C123*(E40+E41)</f>
        <v>21</v>
      </c>
      <c r="D131" s="162">
        <v>23.94</v>
      </c>
      <c r="E131" s="101">
        <f>C131*D131</f>
        <v>502.74</v>
      </c>
      <c r="F131" s="160"/>
      <c r="G131" s="99"/>
    </row>
    <row r="132" spans="1:7">
      <c r="A132" s="7"/>
      <c r="B132" s="7"/>
      <c r="C132" s="7"/>
      <c r="D132" s="154" t="s">
        <v>46</v>
      </c>
      <c r="E132" s="101">
        <v>0.7</v>
      </c>
      <c r="F132" s="127">
        <f>SUM(E130:E131)*E132</f>
        <v>1322.118</v>
      </c>
      <c r="G132" s="99"/>
    </row>
    <row r="133" spans="1:7">
      <c r="A133" s="7"/>
      <c r="B133" s="7"/>
      <c r="C133" s="7"/>
      <c r="D133" s="101"/>
      <c r="E133" s="101"/>
      <c r="F133" s="130"/>
      <c r="G133" s="99"/>
    </row>
    <row r="134" spans="1:7">
      <c r="A134" s="7" t="s">
        <v>72</v>
      </c>
      <c r="B134" s="7"/>
      <c r="C134" s="7"/>
      <c r="D134" s="101"/>
      <c r="E134" s="101"/>
      <c r="F134" s="160"/>
      <c r="G134" s="99"/>
    </row>
    <row r="135" spans="1:7">
      <c r="A135" s="121" t="s">
        <v>25</v>
      </c>
      <c r="B135" s="121" t="s">
        <v>26</v>
      </c>
      <c r="C135" s="121" t="s">
        <v>19</v>
      </c>
      <c r="D135" s="122" t="s">
        <v>27</v>
      </c>
      <c r="E135" s="122" t="s">
        <v>28</v>
      </c>
      <c r="F135" s="122" t="s">
        <v>29</v>
      </c>
      <c r="G135" s="99"/>
    </row>
    <row r="136" spans="1:7">
      <c r="A136" s="7" t="str">
        <f>+A130</f>
        <v>Coletor</v>
      </c>
      <c r="B136" s="123" t="s">
        <v>70</v>
      </c>
      <c r="C136" s="161">
        <v>0</v>
      </c>
      <c r="D136" s="163"/>
      <c r="E136" s="101">
        <f>C136*D136</f>
        <v>0</v>
      </c>
      <c r="F136" s="160"/>
      <c r="G136" s="99"/>
    </row>
    <row r="137" spans="1:7">
      <c r="A137" s="7" t="str">
        <f>+A131</f>
        <v>Motorista (Almoço - conforme convenção coletiva)</v>
      </c>
      <c r="B137" s="123" t="s">
        <v>70</v>
      </c>
      <c r="C137" s="161">
        <f>E40+E41</f>
        <v>1</v>
      </c>
      <c r="D137" s="163">
        <v>111.82</v>
      </c>
      <c r="E137" s="101">
        <f>C137*D137</f>
        <v>111.82</v>
      </c>
      <c r="F137" s="160"/>
      <c r="G137" s="99"/>
    </row>
    <row r="138" spans="1:7">
      <c r="A138" s="7"/>
      <c r="B138" s="7"/>
      <c r="C138" s="7"/>
      <c r="D138" s="154" t="s">
        <v>46</v>
      </c>
      <c r="E138" s="101">
        <v>0.7</v>
      </c>
      <c r="F138" s="127">
        <f>(E136+E137)*E138</f>
        <v>78.274</v>
      </c>
      <c r="G138" s="99"/>
    </row>
    <row r="139" spans="1:7">
      <c r="A139" s="7"/>
      <c r="B139" s="7"/>
      <c r="C139" s="7"/>
      <c r="D139" s="154"/>
      <c r="E139" s="101"/>
      <c r="F139" s="160"/>
      <c r="G139" s="99"/>
    </row>
    <row r="140" spans="1:7">
      <c r="A140" s="7" t="s">
        <v>73</v>
      </c>
      <c r="B140" s="7"/>
      <c r="C140" s="7"/>
      <c r="D140" s="101"/>
      <c r="E140" s="101"/>
      <c r="F140" s="160"/>
      <c r="G140" s="99"/>
    </row>
    <row r="141" spans="1:7">
      <c r="A141" s="121" t="s">
        <v>25</v>
      </c>
      <c r="B141" s="121" t="s">
        <v>26</v>
      </c>
      <c r="C141" s="121" t="s">
        <v>19</v>
      </c>
      <c r="D141" s="122" t="s">
        <v>27</v>
      </c>
      <c r="E141" s="122" t="s">
        <v>28</v>
      </c>
      <c r="F141" s="122" t="s">
        <v>29</v>
      </c>
      <c r="G141" s="99"/>
    </row>
    <row r="142" spans="1:7">
      <c r="A142" s="7" t="str">
        <f>+A136</f>
        <v>Coletor</v>
      </c>
      <c r="B142" s="123" t="s">
        <v>70</v>
      </c>
      <c r="C142" s="161">
        <v>63</v>
      </c>
      <c r="D142" s="162">
        <v>11</v>
      </c>
      <c r="E142" s="101">
        <f>C142*D142</f>
        <v>693</v>
      </c>
      <c r="F142" s="160"/>
      <c r="G142" s="99"/>
    </row>
    <row r="143" spans="1:7">
      <c r="A143" s="7" t="str">
        <f>+A137</f>
        <v>Motorista (Almoço - conforme convenção coletiva)</v>
      </c>
      <c r="B143" s="123" t="s">
        <v>70</v>
      </c>
      <c r="C143" s="161">
        <v>0</v>
      </c>
      <c r="D143" s="163">
        <v>0</v>
      </c>
      <c r="E143" s="101">
        <f>C143*D143</f>
        <v>0</v>
      </c>
      <c r="F143" s="160"/>
      <c r="G143" s="99"/>
    </row>
    <row r="144" spans="1:7">
      <c r="A144" s="7"/>
      <c r="B144" s="7"/>
      <c r="C144" s="7"/>
      <c r="D144" s="154" t="s">
        <v>46</v>
      </c>
      <c r="E144" s="101">
        <v>0.7</v>
      </c>
      <c r="F144" s="127">
        <f>SUM(E142:E143)*E144</f>
        <v>485.1</v>
      </c>
      <c r="G144" s="99"/>
    </row>
    <row r="145" spans="1:7">
      <c r="A145" s="7"/>
      <c r="B145" s="7"/>
      <c r="C145" s="7"/>
      <c r="D145" s="154"/>
      <c r="E145" s="101"/>
      <c r="F145" s="160"/>
      <c r="G145" s="99"/>
    </row>
    <row r="146" spans="1:7">
      <c r="A146" s="7" t="s">
        <v>74</v>
      </c>
      <c r="B146" s="7"/>
      <c r="C146" s="7"/>
      <c r="D146" s="101"/>
      <c r="E146" s="101"/>
      <c r="F146" s="160"/>
      <c r="G146" s="99"/>
    </row>
    <row r="147" spans="1:7">
      <c r="A147" s="121" t="s">
        <v>25</v>
      </c>
      <c r="B147" s="121" t="s">
        <v>26</v>
      </c>
      <c r="C147" s="121" t="s">
        <v>19</v>
      </c>
      <c r="D147" s="122" t="s">
        <v>27</v>
      </c>
      <c r="E147" s="122" t="s">
        <v>28</v>
      </c>
      <c r="F147" s="122" t="s">
        <v>29</v>
      </c>
      <c r="G147" s="99"/>
    </row>
    <row r="148" spans="1:7">
      <c r="A148" s="164" t="s">
        <v>75</v>
      </c>
      <c r="B148" s="123" t="s">
        <v>70</v>
      </c>
      <c r="C148" s="161">
        <v>3</v>
      </c>
      <c r="D148" s="163">
        <v>37.39</v>
      </c>
      <c r="E148" s="101">
        <f>C148*D148</f>
        <v>112.17</v>
      </c>
      <c r="F148" s="160"/>
      <c r="G148" s="99"/>
    </row>
    <row r="149" spans="1:7">
      <c r="A149" s="164" t="s">
        <v>76</v>
      </c>
      <c r="B149" s="123" t="s">
        <v>70</v>
      </c>
      <c r="C149" s="161">
        <v>1</v>
      </c>
      <c r="D149" s="163">
        <v>228</v>
      </c>
      <c r="E149" s="101">
        <f>C149*D149</f>
        <v>228</v>
      </c>
      <c r="F149" s="160"/>
      <c r="G149" s="99"/>
    </row>
    <row r="150" spans="1:7">
      <c r="A150" s="7"/>
      <c r="B150" s="7"/>
      <c r="C150" s="7"/>
      <c r="D150" s="154" t="s">
        <v>46</v>
      </c>
      <c r="E150" s="101">
        <v>0.7</v>
      </c>
      <c r="F150" s="127">
        <f>SUM(E148:E149)*E150</f>
        <v>238.119</v>
      </c>
      <c r="G150" s="99"/>
    </row>
    <row r="151" spans="1:7">
      <c r="A151" s="7"/>
      <c r="B151" s="7"/>
      <c r="C151" s="7"/>
      <c r="D151" s="101"/>
      <c r="E151" s="101"/>
      <c r="F151" s="101"/>
      <c r="G151" s="99"/>
    </row>
    <row r="152" spans="1:7">
      <c r="A152" s="4" t="s">
        <v>77</v>
      </c>
      <c r="B152" s="4"/>
      <c r="C152" s="4"/>
      <c r="D152" s="111"/>
      <c r="E152" s="111"/>
      <c r="F152" s="126">
        <f>F138+F132+F126+F118+F97+F82+F63+F150+F144</f>
        <v>14680.4487452</v>
      </c>
      <c r="G152" s="99"/>
    </row>
    <row r="153" spans="1:6">
      <c r="A153" s="7"/>
      <c r="B153" s="7"/>
      <c r="C153" s="7"/>
      <c r="D153" s="101"/>
      <c r="E153" s="101"/>
      <c r="F153" s="101"/>
    </row>
    <row r="154" spans="1:7">
      <c r="A154" s="4" t="s">
        <v>78</v>
      </c>
      <c r="B154" s="7"/>
      <c r="C154" s="7"/>
      <c r="D154" s="101"/>
      <c r="E154" s="101"/>
      <c r="F154" s="101"/>
      <c r="G154" s="99"/>
    </row>
    <row r="155" ht="11.25" customHeight="1" spans="1:7">
      <c r="A155" s="7"/>
      <c r="B155" s="7"/>
      <c r="C155" s="7"/>
      <c r="D155" s="101"/>
      <c r="E155" s="101"/>
      <c r="F155" s="101"/>
      <c r="G155" s="99"/>
    </row>
    <row r="156" ht="13.9" customHeight="1" spans="1:7">
      <c r="A156" s="7" t="s">
        <v>79</v>
      </c>
      <c r="B156" s="7"/>
      <c r="C156" s="7"/>
      <c r="D156" s="101"/>
      <c r="E156" s="101"/>
      <c r="F156" s="101"/>
      <c r="G156" s="99"/>
    </row>
    <row r="157" ht="11.25" customHeight="1" spans="1:7">
      <c r="A157" s="7"/>
      <c r="B157" s="7"/>
      <c r="C157" s="7"/>
      <c r="D157" s="101"/>
      <c r="E157" s="101"/>
      <c r="F157" s="101"/>
      <c r="G157" s="99"/>
    </row>
    <row r="158" ht="27.75" customHeight="1" spans="1:7">
      <c r="A158" s="121" t="s">
        <v>25</v>
      </c>
      <c r="B158" s="121" t="s">
        <v>26</v>
      </c>
      <c r="C158" s="165" t="s">
        <v>80</v>
      </c>
      <c r="D158" s="122" t="s">
        <v>27</v>
      </c>
      <c r="E158" s="122" t="s">
        <v>28</v>
      </c>
      <c r="F158" s="122" t="s">
        <v>29</v>
      </c>
      <c r="G158" s="99"/>
    </row>
    <row r="159" spans="1:7">
      <c r="A159" s="7" t="s">
        <v>81</v>
      </c>
      <c r="B159" s="123" t="s">
        <v>70</v>
      </c>
      <c r="C159" s="166">
        <v>12</v>
      </c>
      <c r="D159" s="149">
        <v>155</v>
      </c>
      <c r="E159" s="125">
        <f>IFERROR(D159/C159,0)</f>
        <v>12.9166666666667</v>
      </c>
      <c r="F159" s="101"/>
      <c r="G159" s="99"/>
    </row>
    <row r="160" ht="13.15" customHeight="1" spans="1:7">
      <c r="A160" s="7" t="s">
        <v>82</v>
      </c>
      <c r="B160" s="123" t="s">
        <v>70</v>
      </c>
      <c r="C160" s="166">
        <v>4</v>
      </c>
      <c r="D160" s="149">
        <v>36.9</v>
      </c>
      <c r="E160" s="125">
        <f t="shared" ref="E160:E168" si="1">IFERROR(D160/C160,0)</f>
        <v>9.225</v>
      </c>
      <c r="F160" s="101"/>
      <c r="G160" s="99"/>
    </row>
    <row r="161" spans="1:7">
      <c r="A161" s="7" t="s">
        <v>83</v>
      </c>
      <c r="B161" s="123" t="s">
        <v>70</v>
      </c>
      <c r="C161" s="166">
        <v>3</v>
      </c>
      <c r="D161" s="149">
        <v>25.9</v>
      </c>
      <c r="E161" s="125">
        <f t="shared" si="1"/>
        <v>8.63333333333333</v>
      </c>
      <c r="F161" s="101"/>
      <c r="G161" s="99"/>
    </row>
    <row r="162" ht="13.15" customHeight="1" spans="1:7">
      <c r="A162" s="7" t="s">
        <v>84</v>
      </c>
      <c r="B162" s="123" t="s">
        <v>70</v>
      </c>
      <c r="C162" s="166">
        <v>6</v>
      </c>
      <c r="D162" s="149">
        <v>30</v>
      </c>
      <c r="E162" s="125">
        <f t="shared" si="1"/>
        <v>5</v>
      </c>
      <c r="F162" s="101"/>
      <c r="G162" s="99"/>
    </row>
    <row r="163" ht="13.9" customHeight="1" spans="1:7">
      <c r="A163" s="7" t="s">
        <v>85</v>
      </c>
      <c r="B163" s="123" t="s">
        <v>86</v>
      </c>
      <c r="C163" s="166">
        <v>6</v>
      </c>
      <c r="D163" s="149">
        <v>52.9</v>
      </c>
      <c r="E163" s="125">
        <f t="shared" si="1"/>
        <v>8.81666666666667</v>
      </c>
      <c r="F163" s="101"/>
      <c r="G163" s="99"/>
    </row>
    <row r="164" ht="13.15" customHeight="1" spans="1:6">
      <c r="A164" s="7" t="s">
        <v>87</v>
      </c>
      <c r="B164" s="123" t="s">
        <v>86</v>
      </c>
      <c r="C164" s="166">
        <v>4</v>
      </c>
      <c r="D164" s="149">
        <v>10</v>
      </c>
      <c r="E164" s="125">
        <f t="shared" si="1"/>
        <v>2.5</v>
      </c>
      <c r="F164" s="101"/>
    </row>
    <row r="165" spans="1:6">
      <c r="A165" s="7" t="s">
        <v>88</v>
      </c>
      <c r="B165" s="123" t="s">
        <v>70</v>
      </c>
      <c r="C165" s="166">
        <v>6</v>
      </c>
      <c r="D165" s="149">
        <v>67.98</v>
      </c>
      <c r="E165" s="125">
        <f t="shared" si="1"/>
        <v>11.33</v>
      </c>
      <c r="F165" s="101"/>
    </row>
    <row r="166" s="3" customFormat="1" spans="1:7">
      <c r="A166" s="5" t="s">
        <v>89</v>
      </c>
      <c r="B166" s="194" t="s">
        <v>70</v>
      </c>
      <c r="C166" s="166">
        <v>6</v>
      </c>
      <c r="D166" s="149">
        <v>24.57</v>
      </c>
      <c r="E166" s="125">
        <f t="shared" si="1"/>
        <v>4.095</v>
      </c>
      <c r="F166" s="195"/>
      <c r="G166" s="196"/>
    </row>
    <row r="167" spans="1:6">
      <c r="A167" s="7" t="s">
        <v>90</v>
      </c>
      <c r="B167" s="123" t="s">
        <v>86</v>
      </c>
      <c r="C167" s="166">
        <v>1</v>
      </c>
      <c r="D167" s="149">
        <v>7.99</v>
      </c>
      <c r="E167" s="125">
        <f t="shared" si="1"/>
        <v>7.99</v>
      </c>
      <c r="F167" s="101"/>
    </row>
    <row r="168" ht="13.15" customHeight="1" spans="1:6">
      <c r="A168" s="7" t="s">
        <v>91</v>
      </c>
      <c r="B168" s="123" t="s">
        <v>92</v>
      </c>
      <c r="C168" s="166">
        <v>4</v>
      </c>
      <c r="D168" s="149">
        <v>22.9</v>
      </c>
      <c r="E168" s="125">
        <f t="shared" si="1"/>
        <v>5.725</v>
      </c>
      <c r="F168" s="101"/>
    </row>
    <row r="169" spans="1:6">
      <c r="A169" s="7" t="s">
        <v>93</v>
      </c>
      <c r="B169" s="123" t="s">
        <v>94</v>
      </c>
      <c r="C169" s="167">
        <v>1</v>
      </c>
      <c r="D169" s="149">
        <v>100</v>
      </c>
      <c r="E169" s="125">
        <f t="shared" ref="E169:E170" si="2">C169*D169</f>
        <v>100</v>
      </c>
      <c r="F169" s="101"/>
    </row>
    <row r="170" spans="1:6">
      <c r="A170" s="7" t="s">
        <v>44</v>
      </c>
      <c r="B170" s="123" t="s">
        <v>45</v>
      </c>
      <c r="C170" s="168">
        <f>E38+E39</f>
        <v>3</v>
      </c>
      <c r="D170" s="125">
        <f>+SUM(E159:E169)</f>
        <v>176.231666666667</v>
      </c>
      <c r="E170" s="125">
        <f t="shared" si="2"/>
        <v>528.695</v>
      </c>
      <c r="F170" s="101"/>
    </row>
    <row r="171" spans="1:6">
      <c r="A171" s="7"/>
      <c r="B171" s="7"/>
      <c r="C171" s="7"/>
      <c r="D171" s="154" t="s">
        <v>46</v>
      </c>
      <c r="E171" s="101">
        <f>$B$48</f>
        <v>0.7</v>
      </c>
      <c r="F171" s="129">
        <f>E170*E171</f>
        <v>370.0865</v>
      </c>
    </row>
    <row r="172" ht="11.25" customHeight="1" spans="1:6">
      <c r="A172" s="7"/>
      <c r="B172" s="7"/>
      <c r="C172" s="7"/>
      <c r="D172" s="101"/>
      <c r="E172" s="101"/>
      <c r="F172" s="101"/>
    </row>
    <row r="173" ht="13.9" customHeight="1" spans="1:6">
      <c r="A173" s="7" t="s">
        <v>95</v>
      </c>
      <c r="B173" s="7"/>
      <c r="C173" s="7"/>
      <c r="D173" s="101"/>
      <c r="E173" s="101"/>
      <c r="F173" s="101"/>
    </row>
    <row r="174" ht="11.25" customHeight="1" spans="1:6">
      <c r="A174" s="7"/>
      <c r="B174" s="7"/>
      <c r="C174" s="7"/>
      <c r="D174" s="101"/>
      <c r="E174" s="101"/>
      <c r="F174" s="101"/>
    </row>
    <row r="175" ht="24" spans="1:6">
      <c r="A175" s="121" t="s">
        <v>25</v>
      </c>
      <c r="B175" s="121" t="s">
        <v>26</v>
      </c>
      <c r="C175" s="165" t="s">
        <v>80</v>
      </c>
      <c r="D175" s="122" t="s">
        <v>27</v>
      </c>
      <c r="E175" s="122" t="s">
        <v>28</v>
      </c>
      <c r="F175" s="122" t="s">
        <v>29</v>
      </c>
    </row>
    <row r="176" spans="1:6">
      <c r="A176" s="7" t="s">
        <v>81</v>
      </c>
      <c r="B176" s="123" t="s">
        <v>70</v>
      </c>
      <c r="C176" s="166">
        <v>12</v>
      </c>
      <c r="D176" s="125">
        <f>+D159</f>
        <v>155</v>
      </c>
      <c r="E176" s="125">
        <f>IFERROR(D176/C176,0)</f>
        <v>12.9166666666667</v>
      </c>
      <c r="F176" s="101"/>
    </row>
    <row r="177" spans="1:6">
      <c r="A177" s="7" t="s">
        <v>82</v>
      </c>
      <c r="B177" s="123" t="s">
        <v>70</v>
      </c>
      <c r="C177" s="166">
        <v>12</v>
      </c>
      <c r="D177" s="125">
        <f>+D160</f>
        <v>36.9</v>
      </c>
      <c r="E177" s="125">
        <f t="shared" ref="E177:E181" si="3">IFERROR(D177/C177,0)</f>
        <v>3.075</v>
      </c>
      <c r="F177" s="101"/>
    </row>
    <row r="178" spans="1:6">
      <c r="A178" s="7" t="s">
        <v>83</v>
      </c>
      <c r="B178" s="123" t="s">
        <v>70</v>
      </c>
      <c r="C178" s="166">
        <v>6</v>
      </c>
      <c r="D178" s="125">
        <f>+D161</f>
        <v>25.9</v>
      </c>
      <c r="E178" s="125">
        <f t="shared" si="3"/>
        <v>4.31666666666667</v>
      </c>
      <c r="F178" s="101"/>
    </row>
    <row r="179" spans="1:6">
      <c r="A179" s="7" t="s">
        <v>85</v>
      </c>
      <c r="B179" s="123" t="s">
        <v>86</v>
      </c>
      <c r="C179" s="166">
        <v>3</v>
      </c>
      <c r="D179" s="125">
        <f>+D163</f>
        <v>52.9</v>
      </c>
      <c r="E179" s="125">
        <f t="shared" si="3"/>
        <v>17.6333333333333</v>
      </c>
      <c r="F179" s="101"/>
    </row>
    <row r="180" spans="1:7">
      <c r="A180" s="7" t="s">
        <v>88</v>
      </c>
      <c r="B180" s="123" t="s">
        <v>70</v>
      </c>
      <c r="C180" s="166">
        <v>12</v>
      </c>
      <c r="D180" s="125">
        <f>+D165</f>
        <v>67.98</v>
      </c>
      <c r="E180" s="125">
        <f t="shared" si="3"/>
        <v>5.665</v>
      </c>
      <c r="F180" s="101"/>
      <c r="G180" s="99"/>
    </row>
    <row r="181" spans="1:7">
      <c r="A181" s="7" t="s">
        <v>91</v>
      </c>
      <c r="B181" s="123" t="s">
        <v>92</v>
      </c>
      <c r="C181" s="166">
        <v>6</v>
      </c>
      <c r="D181" s="125">
        <f>+D168</f>
        <v>22.9</v>
      </c>
      <c r="E181" s="125">
        <f t="shared" si="3"/>
        <v>3.81666666666667</v>
      </c>
      <c r="F181" s="101"/>
      <c r="G181" s="99"/>
    </row>
    <row r="182" spans="1:7">
      <c r="A182" s="7" t="s">
        <v>93</v>
      </c>
      <c r="B182" s="123" t="s">
        <v>94</v>
      </c>
      <c r="C182" s="167">
        <v>1</v>
      </c>
      <c r="D182" s="149">
        <v>50</v>
      </c>
      <c r="E182" s="125">
        <f t="shared" ref="E182:E183" si="4">C182*D182</f>
        <v>50</v>
      </c>
      <c r="F182" s="101"/>
      <c r="G182" s="99"/>
    </row>
    <row r="183" spans="1:7">
      <c r="A183" s="7" t="s">
        <v>44</v>
      </c>
      <c r="B183" s="123" t="s">
        <v>45</v>
      </c>
      <c r="C183" s="168">
        <f>E40+E41</f>
        <v>1</v>
      </c>
      <c r="D183" s="125">
        <f>+SUM(E176:E182)</f>
        <v>97.4233333333333</v>
      </c>
      <c r="E183" s="125">
        <f t="shared" si="4"/>
        <v>97.4233333333333</v>
      </c>
      <c r="F183" s="101"/>
      <c r="G183" s="99"/>
    </row>
    <row r="184" spans="1:7">
      <c r="A184" s="7"/>
      <c r="B184" s="7"/>
      <c r="C184" s="7"/>
      <c r="D184" s="154" t="s">
        <v>46</v>
      </c>
      <c r="E184" s="101">
        <f>$B$48</f>
        <v>0.7</v>
      </c>
      <c r="F184" s="129">
        <f>E183*E184</f>
        <v>68.1963333333333</v>
      </c>
      <c r="G184" s="99"/>
    </row>
    <row r="185" ht="11.25" customHeight="1" spans="1:7">
      <c r="A185" s="7"/>
      <c r="B185" s="7"/>
      <c r="C185" s="7"/>
      <c r="D185" s="101"/>
      <c r="E185" s="101"/>
      <c r="F185" s="101"/>
      <c r="G185" s="99"/>
    </row>
    <row r="186" spans="1:7">
      <c r="A186" s="4" t="s">
        <v>96</v>
      </c>
      <c r="B186" s="7"/>
      <c r="C186" s="7"/>
      <c r="D186" s="101"/>
      <c r="E186" s="101"/>
      <c r="F186" s="169">
        <f>+F171+F184</f>
        <v>438.282833333333</v>
      </c>
      <c r="G186" s="99"/>
    </row>
    <row r="187" ht="11.25" customHeight="1" spans="1:7">
      <c r="A187" s="7"/>
      <c r="B187" s="7"/>
      <c r="C187" s="7"/>
      <c r="D187" s="101"/>
      <c r="E187" s="101"/>
      <c r="F187" s="101"/>
      <c r="G187" s="99"/>
    </row>
    <row r="188" spans="1:7">
      <c r="A188" s="4" t="s">
        <v>97</v>
      </c>
      <c r="B188" s="7"/>
      <c r="C188" s="7"/>
      <c r="D188" s="101"/>
      <c r="E188" s="101"/>
      <c r="F188" s="101"/>
      <c r="G188" s="99"/>
    </row>
    <row r="189" ht="11.25" customHeight="1" spans="1:7">
      <c r="A189" s="7"/>
      <c r="B189" s="170"/>
      <c r="C189" s="7"/>
      <c r="D189" s="101"/>
      <c r="E189" s="101"/>
      <c r="F189" s="101"/>
      <c r="G189" s="99"/>
    </row>
    <row r="190" spans="1:7">
      <c r="A190" s="7" t="s">
        <v>98</v>
      </c>
      <c r="B190" s="7"/>
      <c r="C190" s="7"/>
      <c r="D190" s="101"/>
      <c r="E190" s="101"/>
      <c r="F190" s="101"/>
      <c r="G190" s="99"/>
    </row>
    <row r="191" ht="11.25" customHeight="1" spans="1:7">
      <c r="A191" s="7"/>
      <c r="B191" s="7"/>
      <c r="C191" s="7"/>
      <c r="D191" s="101"/>
      <c r="E191" s="101"/>
      <c r="F191" s="101"/>
      <c r="G191" s="99"/>
    </row>
    <row r="192" spans="1:7">
      <c r="A192" s="170" t="s">
        <v>99</v>
      </c>
      <c r="B192" s="7"/>
      <c r="C192" s="7"/>
      <c r="D192" s="101"/>
      <c r="E192" s="101"/>
      <c r="F192" s="101"/>
      <c r="G192" s="99"/>
    </row>
    <row r="193" spans="1:7">
      <c r="A193" s="121" t="s">
        <v>25</v>
      </c>
      <c r="B193" s="121" t="s">
        <v>26</v>
      </c>
      <c r="C193" s="121" t="s">
        <v>19</v>
      </c>
      <c r="D193" s="122" t="s">
        <v>27</v>
      </c>
      <c r="E193" s="122" t="s">
        <v>28</v>
      </c>
      <c r="F193" s="122" t="s">
        <v>29</v>
      </c>
      <c r="G193" s="99"/>
    </row>
    <row r="194" spans="1:7">
      <c r="A194" s="7" t="s">
        <v>100</v>
      </c>
      <c r="B194" s="123" t="s">
        <v>70</v>
      </c>
      <c r="C194" s="171">
        <v>1</v>
      </c>
      <c r="D194" s="163">
        <v>494897</v>
      </c>
      <c r="E194" s="125">
        <f>C194*D194</f>
        <v>494897</v>
      </c>
      <c r="F194" s="101"/>
      <c r="G194" s="99"/>
    </row>
    <row r="195" spans="1:7">
      <c r="A195" s="7" t="s">
        <v>101</v>
      </c>
      <c r="B195" s="123" t="s">
        <v>102</v>
      </c>
      <c r="C195" s="152">
        <v>10</v>
      </c>
      <c r="D195" s="153"/>
      <c r="E195" s="125"/>
      <c r="F195" s="101"/>
      <c r="G195" s="99"/>
    </row>
    <row r="196" spans="1:10">
      <c r="A196" s="7" t="s">
        <v>103</v>
      </c>
      <c r="B196" s="123" t="s">
        <v>102</v>
      </c>
      <c r="C196" s="152">
        <v>0</v>
      </c>
      <c r="D196" s="125"/>
      <c r="E196" s="125"/>
      <c r="F196" s="125"/>
      <c r="I196" s="175"/>
      <c r="J196" s="175"/>
    </row>
    <row r="197" spans="1:6">
      <c r="A197" s="7" t="s">
        <v>104</v>
      </c>
      <c r="B197" s="123" t="s">
        <v>5</v>
      </c>
      <c r="C197" s="128">
        <f>IFERROR(VLOOKUP(C195,'8. Depreciação'!A3:B17,2,FALSE),0)</f>
        <v>65.18</v>
      </c>
      <c r="D197" s="125">
        <f>E194</f>
        <v>494897</v>
      </c>
      <c r="E197" s="125">
        <f>C197*D197/100</f>
        <v>322573.8646</v>
      </c>
      <c r="F197" s="101"/>
    </row>
    <row r="198" spans="1:6">
      <c r="A198" s="4" t="s">
        <v>105</v>
      </c>
      <c r="B198" s="146" t="s">
        <v>31</v>
      </c>
      <c r="C198" s="146">
        <f>C195*12</f>
        <v>120</v>
      </c>
      <c r="D198" s="110">
        <f>IF(C196&lt;=C195,E197,0)</f>
        <v>322573.8646</v>
      </c>
      <c r="E198" s="110">
        <f>IFERROR(D198/C198,0)</f>
        <v>2688.11553833333</v>
      </c>
      <c r="F198" s="101"/>
    </row>
    <row r="199" spans="1:7">
      <c r="A199" s="155" t="s">
        <v>106</v>
      </c>
      <c r="B199" s="123" t="s">
        <v>70</v>
      </c>
      <c r="C199" s="123">
        <f>C194</f>
        <v>1</v>
      </c>
      <c r="D199" s="163">
        <v>205500</v>
      </c>
      <c r="E199" s="125">
        <f>C199*D199</f>
        <v>205500</v>
      </c>
      <c r="F199" s="101"/>
      <c r="G199" s="99"/>
    </row>
    <row r="200" spans="1:6">
      <c r="A200" s="155" t="s">
        <v>107</v>
      </c>
      <c r="B200" s="123" t="s">
        <v>102</v>
      </c>
      <c r="C200" s="152">
        <v>10</v>
      </c>
      <c r="D200" s="125"/>
      <c r="E200" s="125"/>
      <c r="F200" s="101"/>
    </row>
    <row r="201" spans="1:10">
      <c r="A201" s="155" t="s">
        <v>108</v>
      </c>
      <c r="B201" s="123" t="s">
        <v>102</v>
      </c>
      <c r="C201" s="152">
        <v>0</v>
      </c>
      <c r="D201" s="125"/>
      <c r="E201" s="125"/>
      <c r="F201" s="125"/>
      <c r="I201" s="175"/>
      <c r="J201" s="175"/>
    </row>
    <row r="202" spans="1:6">
      <c r="A202" s="155" t="s">
        <v>109</v>
      </c>
      <c r="B202" s="123" t="s">
        <v>5</v>
      </c>
      <c r="C202" s="172">
        <f>IFERROR(VLOOKUP(C200,'8. Depreciação'!A3:B17,2,FALSE),0)</f>
        <v>65.18</v>
      </c>
      <c r="D202" s="125">
        <f>E199</f>
        <v>205500</v>
      </c>
      <c r="E202" s="125">
        <f>C202*D202/100</f>
        <v>133944.9</v>
      </c>
      <c r="F202" s="101"/>
    </row>
    <row r="203" spans="1:6">
      <c r="A203" s="204" t="s">
        <v>110</v>
      </c>
      <c r="B203" s="146" t="s">
        <v>31</v>
      </c>
      <c r="C203" s="146">
        <f>C200*12</f>
        <v>120</v>
      </c>
      <c r="D203" s="110">
        <f>IF(C201&lt;=C200,E202,0)</f>
        <v>133944.9</v>
      </c>
      <c r="E203" s="110">
        <f>IFERROR(D203/C203,0)</f>
        <v>1116.2075</v>
      </c>
      <c r="F203" s="101"/>
    </row>
    <row r="204" spans="1:6">
      <c r="A204" s="4" t="s">
        <v>111</v>
      </c>
      <c r="B204" s="146"/>
      <c r="C204" s="146"/>
      <c r="D204" s="110"/>
      <c r="E204" s="110">
        <f>E198+E203</f>
        <v>3804.32303833333</v>
      </c>
      <c r="F204" s="101"/>
    </row>
    <row r="205" spans="1:6">
      <c r="A205" s="4" t="s">
        <v>112</v>
      </c>
      <c r="B205" s="146" t="s">
        <v>70</v>
      </c>
      <c r="C205" s="152">
        <v>1</v>
      </c>
      <c r="D205" s="110">
        <f>E204</f>
        <v>3804.32303833333</v>
      </c>
      <c r="E205" s="110">
        <f>C205*D205</f>
        <v>3804.32303833333</v>
      </c>
      <c r="F205" s="101"/>
    </row>
    <row r="206" spans="1:6">
      <c r="A206" s="173"/>
      <c r="B206" s="173"/>
      <c r="C206" s="173"/>
      <c r="D206" s="154" t="s">
        <v>46</v>
      </c>
      <c r="E206" s="101">
        <f>$B$48</f>
        <v>0.7</v>
      </c>
      <c r="F206" s="129">
        <f>E205*E206</f>
        <v>2663.02612683333</v>
      </c>
    </row>
    <row r="207" ht="11.25" customHeight="1" spans="1:6">
      <c r="A207" s="7"/>
      <c r="B207" s="7"/>
      <c r="C207" s="7"/>
      <c r="D207" s="101"/>
      <c r="E207" s="101"/>
      <c r="F207" s="101"/>
    </row>
    <row r="208" spans="1:6">
      <c r="A208" s="170" t="s">
        <v>113</v>
      </c>
      <c r="B208" s="7"/>
      <c r="C208" s="7"/>
      <c r="D208" s="101"/>
      <c r="E208" s="101"/>
      <c r="F208" s="101"/>
    </row>
    <row r="209" spans="1:10">
      <c r="A209" s="121" t="s">
        <v>25</v>
      </c>
      <c r="B209" s="121" t="s">
        <v>26</v>
      </c>
      <c r="C209" s="121" t="s">
        <v>19</v>
      </c>
      <c r="D209" s="122" t="s">
        <v>27</v>
      </c>
      <c r="E209" s="122" t="s">
        <v>28</v>
      </c>
      <c r="F209" s="122" t="s">
        <v>29</v>
      </c>
      <c r="I209" s="175"/>
      <c r="J209" s="175"/>
    </row>
    <row r="210" spans="1:10">
      <c r="A210" s="7" t="s">
        <v>114</v>
      </c>
      <c r="B210" s="123" t="s">
        <v>70</v>
      </c>
      <c r="C210" s="171">
        <v>1</v>
      </c>
      <c r="D210" s="125">
        <f>D194</f>
        <v>494897</v>
      </c>
      <c r="E210" s="125">
        <f>C210*D210</f>
        <v>494897</v>
      </c>
      <c r="F210" s="125"/>
      <c r="I210" s="175"/>
      <c r="J210" s="175"/>
    </row>
    <row r="211" spans="1:10">
      <c r="A211" s="7" t="s">
        <v>115</v>
      </c>
      <c r="B211" s="123" t="s">
        <v>5</v>
      </c>
      <c r="C211" s="174">
        <v>13.75</v>
      </c>
      <c r="D211" s="125"/>
      <c r="E211" s="125"/>
      <c r="F211" s="125"/>
      <c r="I211" s="175"/>
      <c r="J211" s="175"/>
    </row>
    <row r="212" spans="1:10">
      <c r="A212" s="7" t="s">
        <v>116</v>
      </c>
      <c r="B212" s="123" t="s">
        <v>38</v>
      </c>
      <c r="C212" s="176">
        <f>IFERROR(IF(C196&lt;=C195,E194-(C197/(100*C195)*C196)*E194,E194-E197),0)</f>
        <v>494897</v>
      </c>
      <c r="D212" s="125"/>
      <c r="E212" s="125"/>
      <c r="F212" s="125"/>
      <c r="I212" s="175"/>
      <c r="J212" s="175"/>
    </row>
    <row r="213" spans="1:10">
      <c r="A213" s="7" t="s">
        <v>117</v>
      </c>
      <c r="B213" s="123" t="s">
        <v>38</v>
      </c>
      <c r="C213" s="153">
        <f>IFERROR(IF(C196&gt;=C195,C212,((((C212)-(E194-E197))*(((C195-C196)+1)/(2*(C195-C196))))+(E194-E197))),0)</f>
        <v>349738.76093</v>
      </c>
      <c r="D213" s="125"/>
      <c r="E213" s="125"/>
      <c r="F213" s="125"/>
      <c r="I213" s="175"/>
      <c r="J213" s="175"/>
    </row>
    <row r="214" spans="1:10">
      <c r="A214" s="4" t="s">
        <v>118</v>
      </c>
      <c r="B214" s="146" t="s">
        <v>38</v>
      </c>
      <c r="C214" s="146"/>
      <c r="D214" s="130">
        <f>C211*C213/12/100</f>
        <v>4007.42330232292</v>
      </c>
      <c r="E214" s="110">
        <f>D214</f>
        <v>4007.42330232292</v>
      </c>
      <c r="F214" s="125"/>
      <c r="I214" s="175"/>
      <c r="J214" s="175"/>
    </row>
    <row r="215" spans="1:10">
      <c r="A215" s="155" t="s">
        <v>119</v>
      </c>
      <c r="B215" s="123" t="s">
        <v>70</v>
      </c>
      <c r="C215" s="123">
        <f>C199</f>
        <v>1</v>
      </c>
      <c r="D215" s="125">
        <f>D199</f>
        <v>205500</v>
      </c>
      <c r="E215" s="125">
        <f>C215*D215</f>
        <v>205500</v>
      </c>
      <c r="F215" s="125"/>
      <c r="I215" s="175"/>
      <c r="J215" s="175"/>
    </row>
    <row r="216" spans="1:10">
      <c r="A216" s="155" t="s">
        <v>115</v>
      </c>
      <c r="B216" s="123" t="s">
        <v>5</v>
      </c>
      <c r="C216" s="171">
        <f>C211</f>
        <v>13.75</v>
      </c>
      <c r="D216" s="125"/>
      <c r="E216" s="125"/>
      <c r="F216" s="125"/>
      <c r="I216" s="175"/>
      <c r="J216" s="175"/>
    </row>
    <row r="217" spans="1:10">
      <c r="A217" s="155" t="s">
        <v>120</v>
      </c>
      <c r="B217" s="123" t="s">
        <v>38</v>
      </c>
      <c r="C217" s="176">
        <f>IFERROR(IF(C201&lt;=C200,E199-(C202/(100*C200)*C201)*E199,E199-E202),0)</f>
        <v>205500</v>
      </c>
      <c r="D217" s="125"/>
      <c r="E217" s="125"/>
      <c r="F217" s="125"/>
      <c r="I217" s="175"/>
      <c r="J217" s="175"/>
    </row>
    <row r="218" spans="1:10">
      <c r="A218" s="155" t="s">
        <v>121</v>
      </c>
      <c r="B218" s="123" t="s">
        <v>38</v>
      </c>
      <c r="C218" s="153">
        <f>IFERROR(IF(C201&gt;=C200,C217,((((C217)-(E199-E202))*(((C200-C201)+1)/(2*(C200-C201))))+(E199-E202))),0)</f>
        <v>145224.795</v>
      </c>
      <c r="D218" s="125"/>
      <c r="E218" s="125"/>
      <c r="F218" s="125"/>
      <c r="I218" s="175"/>
      <c r="J218" s="175"/>
    </row>
    <row r="219" spans="1:10">
      <c r="A219" s="204" t="s">
        <v>122</v>
      </c>
      <c r="B219" s="146" t="s">
        <v>38</v>
      </c>
      <c r="C219" s="146"/>
      <c r="D219" s="130">
        <f>C216*C218/12/100</f>
        <v>1664.034109375</v>
      </c>
      <c r="E219" s="110">
        <f>D219</f>
        <v>1664.034109375</v>
      </c>
      <c r="F219" s="125"/>
      <c r="I219" s="175"/>
      <c r="J219" s="175"/>
    </row>
    <row r="220" spans="1:10">
      <c r="A220" s="4" t="s">
        <v>111</v>
      </c>
      <c r="B220" s="146"/>
      <c r="C220" s="146"/>
      <c r="D220" s="110"/>
      <c r="E220" s="110">
        <f>E214+E219</f>
        <v>5671.45741169792</v>
      </c>
      <c r="F220" s="125"/>
      <c r="I220" s="175"/>
      <c r="J220" s="175"/>
    </row>
    <row r="221" spans="1:10">
      <c r="A221" s="4" t="s">
        <v>112</v>
      </c>
      <c r="B221" s="146" t="s">
        <v>70</v>
      </c>
      <c r="C221" s="171">
        <f>C205</f>
        <v>1</v>
      </c>
      <c r="D221" s="110">
        <f>E220</f>
        <v>5671.45741169792</v>
      </c>
      <c r="E221" s="110">
        <f>C221*D221</f>
        <v>5671.45741169792</v>
      </c>
      <c r="F221" s="125"/>
      <c r="I221" s="175"/>
      <c r="J221" s="175"/>
    </row>
    <row r="222" spans="1:10">
      <c r="A222" s="7"/>
      <c r="B222" s="7"/>
      <c r="C222" s="123"/>
      <c r="D222" s="154" t="s">
        <v>46</v>
      </c>
      <c r="E222" s="101">
        <f>$B$48</f>
        <v>0.7</v>
      </c>
      <c r="F222" s="129">
        <f>E221*E222</f>
        <v>3970.02018818854</v>
      </c>
      <c r="I222" s="175"/>
      <c r="J222" s="175"/>
    </row>
    <row r="223" ht="11.25" customHeight="1" spans="1:10">
      <c r="A223" s="7"/>
      <c r="B223" s="7"/>
      <c r="C223" s="7"/>
      <c r="D223" s="101"/>
      <c r="E223" s="101"/>
      <c r="F223" s="101"/>
      <c r="I223" s="175"/>
      <c r="J223" s="175"/>
    </row>
    <row r="224" spans="1:10">
      <c r="A224" s="7" t="s">
        <v>123</v>
      </c>
      <c r="B224" s="7"/>
      <c r="C224" s="7"/>
      <c r="D224" s="101"/>
      <c r="E224" s="101"/>
      <c r="F224" s="101"/>
      <c r="I224" s="175"/>
      <c r="J224" s="175"/>
    </row>
    <row r="225" spans="1:10">
      <c r="A225" s="121" t="s">
        <v>25</v>
      </c>
      <c r="B225" s="121" t="s">
        <v>26</v>
      </c>
      <c r="C225" s="121" t="s">
        <v>19</v>
      </c>
      <c r="D225" s="122" t="s">
        <v>27</v>
      </c>
      <c r="E225" s="122" t="s">
        <v>28</v>
      </c>
      <c r="F225" s="122" t="s">
        <v>29</v>
      </c>
      <c r="I225" s="175"/>
      <c r="J225" s="175"/>
    </row>
    <row r="226" spans="1:10">
      <c r="A226" s="7" t="s">
        <v>124</v>
      </c>
      <c r="B226" s="123" t="s">
        <v>70</v>
      </c>
      <c r="C226" s="125">
        <f>C205</f>
        <v>1</v>
      </c>
      <c r="D226" s="125">
        <f>0.01*($E$194)</f>
        <v>4948.97</v>
      </c>
      <c r="E226" s="125">
        <f>C226*D226</f>
        <v>4948.97</v>
      </c>
      <c r="F226" s="101"/>
      <c r="I226" s="175"/>
      <c r="J226" s="175"/>
    </row>
    <row r="227" spans="1:10">
      <c r="A227" s="7" t="s">
        <v>125</v>
      </c>
      <c r="B227" s="123" t="s">
        <v>70</v>
      </c>
      <c r="C227" s="125">
        <f>C205</f>
        <v>1</v>
      </c>
      <c r="D227" s="149">
        <v>230.71</v>
      </c>
      <c r="E227" s="125">
        <f>C227*D227</f>
        <v>230.71</v>
      </c>
      <c r="F227" s="101"/>
      <c r="I227" s="175"/>
      <c r="J227" s="175"/>
    </row>
    <row r="228" spans="1:10">
      <c r="A228" s="155" t="s">
        <v>126</v>
      </c>
      <c r="B228" s="123" t="s">
        <v>70</v>
      </c>
      <c r="C228" s="125">
        <f>C205</f>
        <v>1</v>
      </c>
      <c r="D228" s="149">
        <v>4315</v>
      </c>
      <c r="E228" s="125">
        <f>C228*D228</f>
        <v>4315</v>
      </c>
      <c r="F228" s="110"/>
      <c r="I228" s="175"/>
      <c r="J228" s="175"/>
    </row>
    <row r="229" spans="1:10">
      <c r="A229" s="4" t="s">
        <v>127</v>
      </c>
      <c r="B229" s="146" t="s">
        <v>31</v>
      </c>
      <c r="C229" s="146">
        <v>12</v>
      </c>
      <c r="D229" s="110">
        <f>SUM(E226:E228)</f>
        <v>9494.68</v>
      </c>
      <c r="E229" s="110">
        <f>D229/C229</f>
        <v>791.223333333333</v>
      </c>
      <c r="F229" s="101"/>
      <c r="I229" s="175"/>
      <c r="J229" s="175"/>
    </row>
    <row r="230" spans="1:10">
      <c r="A230" s="7"/>
      <c r="B230" s="7"/>
      <c r="C230" s="7"/>
      <c r="D230" s="154" t="s">
        <v>46</v>
      </c>
      <c r="E230" s="101">
        <f>$B$48</f>
        <v>0.7</v>
      </c>
      <c r="F230" s="129">
        <f>E229*E230</f>
        <v>553.856333333333</v>
      </c>
      <c r="I230" s="175"/>
      <c r="J230" s="175"/>
    </row>
    <row r="231" ht="11.25" customHeight="1" spans="1:10">
      <c r="A231" s="7"/>
      <c r="B231" s="7"/>
      <c r="C231" s="7"/>
      <c r="D231" s="101"/>
      <c r="E231" s="101"/>
      <c r="F231" s="101"/>
      <c r="I231" s="175"/>
      <c r="J231" s="175"/>
    </row>
    <row r="232" spans="1:10">
      <c r="A232" s="7" t="s">
        <v>128</v>
      </c>
      <c r="B232" s="177"/>
      <c r="C232" s="7"/>
      <c r="D232" s="101"/>
      <c r="E232" s="101"/>
      <c r="F232" s="101"/>
      <c r="I232" s="175"/>
      <c r="J232" s="175"/>
    </row>
    <row r="233" spans="1:10">
      <c r="A233" s="7"/>
      <c r="B233" s="177"/>
      <c r="C233" s="7"/>
      <c r="D233" s="101"/>
      <c r="E233" s="101"/>
      <c r="F233" s="101"/>
      <c r="I233" s="175"/>
      <c r="J233" s="175"/>
    </row>
    <row r="234" spans="1:10">
      <c r="A234" s="4" t="s">
        <v>129</v>
      </c>
      <c r="B234" s="178">
        <v>2387</v>
      </c>
      <c r="C234" s="7"/>
      <c r="D234" s="101"/>
      <c r="E234" s="101"/>
      <c r="F234" s="101"/>
      <c r="I234" s="175"/>
      <c r="J234" s="175"/>
    </row>
    <row r="235" spans="1:10">
      <c r="A235" s="7"/>
      <c r="B235" s="177"/>
      <c r="C235" s="7"/>
      <c r="D235" s="101"/>
      <c r="E235" s="101"/>
      <c r="F235" s="101"/>
      <c r="I235" s="175"/>
      <c r="J235" s="175"/>
    </row>
    <row r="236" spans="1:10">
      <c r="A236" s="121" t="s">
        <v>25</v>
      </c>
      <c r="B236" s="121" t="s">
        <v>26</v>
      </c>
      <c r="C236" s="121" t="s">
        <v>130</v>
      </c>
      <c r="D236" s="122" t="s">
        <v>27</v>
      </c>
      <c r="E236" s="122" t="s">
        <v>28</v>
      </c>
      <c r="F236" s="122" t="s">
        <v>29</v>
      </c>
      <c r="I236" s="175"/>
      <c r="J236" s="175"/>
    </row>
    <row r="237" spans="1:10">
      <c r="A237" s="7" t="s">
        <v>131</v>
      </c>
      <c r="B237" s="123" t="s">
        <v>132</v>
      </c>
      <c r="C237" s="179">
        <v>2</v>
      </c>
      <c r="D237" s="182">
        <v>5.3</v>
      </c>
      <c r="E237" s="125"/>
      <c r="F237" s="101"/>
      <c r="I237" s="175"/>
      <c r="J237" s="175"/>
    </row>
    <row r="238" spans="1:10">
      <c r="A238" s="155" t="s">
        <v>133</v>
      </c>
      <c r="B238" s="123" t="s">
        <v>134</v>
      </c>
      <c r="C238" s="120">
        <f>B234</f>
        <v>2387</v>
      </c>
      <c r="D238" s="180">
        <f>D237/C237</f>
        <v>2.65</v>
      </c>
      <c r="E238" s="125">
        <f>D238*C238</f>
        <v>6325.55</v>
      </c>
      <c r="F238" s="101"/>
      <c r="I238" s="175"/>
      <c r="J238" s="175"/>
    </row>
    <row r="239" spans="1:10">
      <c r="A239" s="155" t="s">
        <v>135</v>
      </c>
      <c r="B239" s="123" t="s">
        <v>132</v>
      </c>
      <c r="C239" s="179">
        <v>40</v>
      </c>
      <c r="D239" s="149">
        <v>4</v>
      </c>
      <c r="E239" s="125"/>
      <c r="F239" s="101"/>
      <c r="I239" s="175"/>
      <c r="J239" s="175"/>
    </row>
    <row r="240" spans="1:10">
      <c r="A240" s="155" t="s">
        <v>136</v>
      </c>
      <c r="B240" s="123" t="s">
        <v>134</v>
      </c>
      <c r="C240" s="120">
        <f>C238</f>
        <v>2387</v>
      </c>
      <c r="D240" s="180">
        <f>+C239*D239/1000</f>
        <v>0.16</v>
      </c>
      <c r="E240" s="125">
        <f>IFERROR(C240*D240,"-")</f>
        <v>381.92</v>
      </c>
      <c r="F240" s="101"/>
      <c r="I240" s="175"/>
      <c r="J240" s="175"/>
    </row>
    <row r="241" spans="1:10">
      <c r="A241" s="155" t="s">
        <v>137</v>
      </c>
      <c r="B241" s="123" t="s">
        <v>138</v>
      </c>
      <c r="C241" s="179">
        <v>2</v>
      </c>
      <c r="D241" s="149">
        <v>21</v>
      </c>
      <c r="E241" s="125"/>
      <c r="F241" s="101"/>
      <c r="G241" s="183"/>
      <c r="H241" s="184"/>
      <c r="I241" s="175"/>
      <c r="J241" s="175"/>
    </row>
    <row r="242" spans="1:10">
      <c r="A242" s="155" t="s">
        <v>139</v>
      </c>
      <c r="B242" s="123" t="s">
        <v>134</v>
      </c>
      <c r="C242" s="120">
        <f>C238</f>
        <v>2387</v>
      </c>
      <c r="D242" s="180">
        <f>+C241*D241/1000</f>
        <v>0.042</v>
      </c>
      <c r="E242" s="125">
        <f>C242*D242</f>
        <v>100.254</v>
      </c>
      <c r="F242" s="101"/>
      <c r="G242" s="183"/>
      <c r="H242" s="184"/>
      <c r="I242" s="175"/>
      <c r="J242" s="175"/>
    </row>
    <row r="243" spans="1:10">
      <c r="A243" s="155" t="s">
        <v>140</v>
      </c>
      <c r="B243" s="123" t="s">
        <v>138</v>
      </c>
      <c r="C243" s="179">
        <v>5</v>
      </c>
      <c r="D243" s="149">
        <v>21</v>
      </c>
      <c r="E243" s="125"/>
      <c r="F243" s="101"/>
      <c r="G243" s="183"/>
      <c r="H243" s="184"/>
      <c r="I243" s="175"/>
      <c r="J243" s="175"/>
    </row>
    <row r="244" spans="1:10">
      <c r="A244" s="155" t="s">
        <v>141</v>
      </c>
      <c r="B244" s="123" t="s">
        <v>134</v>
      </c>
      <c r="C244" s="120">
        <f>C238</f>
        <v>2387</v>
      </c>
      <c r="D244" s="180">
        <f>+C243*D243/1000</f>
        <v>0.105</v>
      </c>
      <c r="E244" s="125">
        <f>C244*D244</f>
        <v>250.635</v>
      </c>
      <c r="F244" s="101"/>
      <c r="G244" s="183"/>
      <c r="H244" s="184"/>
      <c r="I244" s="175"/>
      <c r="J244" s="175"/>
    </row>
    <row r="245" spans="1:10">
      <c r="A245" s="155" t="s">
        <v>142</v>
      </c>
      <c r="B245" s="123" t="s">
        <v>138</v>
      </c>
      <c r="C245" s="179">
        <v>5</v>
      </c>
      <c r="D245" s="149">
        <v>31</v>
      </c>
      <c r="E245" s="125"/>
      <c r="F245" s="101"/>
      <c r="G245" s="183"/>
      <c r="H245" s="184"/>
      <c r="I245" s="175"/>
      <c r="J245" s="175"/>
    </row>
    <row r="246" spans="1:10">
      <c r="A246" s="155" t="s">
        <v>143</v>
      </c>
      <c r="B246" s="123" t="s">
        <v>134</v>
      </c>
      <c r="C246" s="120">
        <f>C238</f>
        <v>2387</v>
      </c>
      <c r="D246" s="180">
        <f>+C245*D245/1000</f>
        <v>0.155</v>
      </c>
      <c r="E246" s="125">
        <f>C246*D246</f>
        <v>369.985</v>
      </c>
      <c r="F246" s="101"/>
      <c r="G246" s="183"/>
      <c r="H246" s="184"/>
      <c r="I246" s="175"/>
      <c r="J246" s="175"/>
    </row>
    <row r="247" spans="1:10">
      <c r="A247" s="155" t="s">
        <v>144</v>
      </c>
      <c r="B247" s="123" t="s">
        <v>145</v>
      </c>
      <c r="C247" s="179">
        <v>4</v>
      </c>
      <c r="D247" s="149">
        <v>15</v>
      </c>
      <c r="E247" s="125"/>
      <c r="F247" s="101"/>
      <c r="G247" s="183"/>
      <c r="H247" s="184"/>
      <c r="I247" s="175"/>
      <c r="J247" s="175"/>
    </row>
    <row r="248" spans="1:10">
      <c r="A248" s="7" t="s">
        <v>146</v>
      </c>
      <c r="B248" s="123" t="s">
        <v>134</v>
      </c>
      <c r="C248" s="120">
        <f>C238</f>
        <v>2387</v>
      </c>
      <c r="D248" s="180">
        <f>+C247*D247/1000</f>
        <v>0.06</v>
      </c>
      <c r="E248" s="125">
        <f>C248*D248</f>
        <v>143.22</v>
      </c>
      <c r="F248" s="101"/>
      <c r="G248" s="183"/>
      <c r="H248" s="184"/>
      <c r="I248" s="175"/>
      <c r="J248" s="175"/>
    </row>
    <row r="249" spans="1:10">
      <c r="A249" s="4" t="s">
        <v>147</v>
      </c>
      <c r="B249" s="146" t="s">
        <v>148</v>
      </c>
      <c r="C249" s="148"/>
      <c r="D249" s="185">
        <f>IFERROR(D238+D242+D244+D246+D248,0)</f>
        <v>3.012</v>
      </c>
      <c r="E249" s="125"/>
      <c r="F249" s="101"/>
      <c r="G249" s="183"/>
      <c r="H249" s="184"/>
      <c r="I249" s="175"/>
      <c r="J249" s="175"/>
    </row>
    <row r="250" spans="1:10">
      <c r="A250" s="7"/>
      <c r="B250" s="7"/>
      <c r="C250" s="7"/>
      <c r="D250" s="154"/>
      <c r="E250" s="101"/>
      <c r="F250" s="129">
        <f>SUM(E237:E248)</f>
        <v>7571.564</v>
      </c>
      <c r="I250" s="175"/>
      <c r="J250" s="175"/>
    </row>
    <row r="251" ht="11.25" customHeight="1" spans="1:10">
      <c r="A251" s="7"/>
      <c r="B251" s="7"/>
      <c r="C251" s="7"/>
      <c r="D251" s="101"/>
      <c r="E251" s="101"/>
      <c r="F251" s="101"/>
      <c r="I251" s="175"/>
      <c r="J251" s="175"/>
    </row>
    <row r="252" spans="1:10">
      <c r="A252" s="7" t="s">
        <v>149</v>
      </c>
      <c r="B252" s="7"/>
      <c r="C252" s="7"/>
      <c r="D252" s="101"/>
      <c r="E252" s="101"/>
      <c r="F252" s="101"/>
      <c r="I252" s="175"/>
      <c r="J252" s="175"/>
    </row>
    <row r="253" spans="1:10">
      <c r="A253" s="121" t="s">
        <v>25</v>
      </c>
      <c r="B253" s="121" t="s">
        <v>26</v>
      </c>
      <c r="C253" s="121" t="s">
        <v>19</v>
      </c>
      <c r="D253" s="122" t="s">
        <v>27</v>
      </c>
      <c r="E253" s="122" t="s">
        <v>28</v>
      </c>
      <c r="F253" s="122" t="s">
        <v>29</v>
      </c>
      <c r="I253" s="175"/>
      <c r="J253" s="175"/>
    </row>
    <row r="254" spans="1:10">
      <c r="A254" s="7" t="s">
        <v>150</v>
      </c>
      <c r="B254" s="123" t="s">
        <v>148</v>
      </c>
      <c r="C254" s="120">
        <f>C238</f>
        <v>2387</v>
      </c>
      <c r="D254" s="149">
        <v>1.2</v>
      </c>
      <c r="E254" s="125">
        <f>C254*D254</f>
        <v>2864.4</v>
      </c>
      <c r="F254" s="101"/>
      <c r="I254" s="175"/>
      <c r="J254" s="175"/>
    </row>
    <row r="255" spans="1:10">
      <c r="A255" s="7"/>
      <c r="B255" s="7"/>
      <c r="C255" s="7"/>
      <c r="D255" s="154"/>
      <c r="E255" s="101"/>
      <c r="F255" s="129">
        <f>E254</f>
        <v>2864.4</v>
      </c>
      <c r="I255" s="175"/>
      <c r="J255" s="175"/>
    </row>
    <row r="256" ht="11.25" customHeight="1" spans="1:10">
      <c r="A256" s="7"/>
      <c r="B256" s="7"/>
      <c r="C256" s="7"/>
      <c r="D256" s="101"/>
      <c r="E256" s="101"/>
      <c r="F256" s="101"/>
      <c r="I256" s="175"/>
      <c r="J256" s="175"/>
    </row>
    <row r="257" spans="1:10">
      <c r="A257" s="7" t="s">
        <v>151</v>
      </c>
      <c r="B257" s="7"/>
      <c r="C257" s="7"/>
      <c r="D257" s="101"/>
      <c r="E257" s="101"/>
      <c r="F257" s="101"/>
      <c r="I257" s="175"/>
      <c r="J257" s="175"/>
    </row>
    <row r="258" spans="1:10">
      <c r="A258" s="121" t="s">
        <v>25</v>
      </c>
      <c r="B258" s="121" t="s">
        <v>26</v>
      </c>
      <c r="C258" s="121" t="s">
        <v>19</v>
      </c>
      <c r="D258" s="122" t="s">
        <v>27</v>
      </c>
      <c r="E258" s="122" t="s">
        <v>28</v>
      </c>
      <c r="F258" s="122" t="s">
        <v>29</v>
      </c>
      <c r="I258" s="175"/>
      <c r="J258" s="175"/>
    </row>
    <row r="259" spans="1:10">
      <c r="A259" s="158" t="s">
        <v>152</v>
      </c>
      <c r="B259" s="123" t="s">
        <v>70</v>
      </c>
      <c r="C259" s="152">
        <v>6</v>
      </c>
      <c r="D259" s="149">
        <v>1757</v>
      </c>
      <c r="E259" s="125">
        <f>C259*D259</f>
        <v>10542</v>
      </c>
      <c r="F259" s="101"/>
      <c r="I259" s="175"/>
      <c r="J259" s="175"/>
    </row>
    <row r="260" spans="1:10">
      <c r="A260" s="158" t="s">
        <v>153</v>
      </c>
      <c r="B260" s="123" t="s">
        <v>70</v>
      </c>
      <c r="C260" s="152">
        <v>2</v>
      </c>
      <c r="D260" s="153"/>
      <c r="E260" s="125"/>
      <c r="F260" s="101"/>
      <c r="I260" s="175"/>
      <c r="J260" s="175"/>
    </row>
    <row r="261" spans="1:10">
      <c r="A261" s="7" t="s">
        <v>154</v>
      </c>
      <c r="B261" s="123" t="s">
        <v>70</v>
      </c>
      <c r="C261" s="125">
        <f>C259*C260</f>
        <v>12</v>
      </c>
      <c r="D261" s="149">
        <v>604</v>
      </c>
      <c r="E261" s="125">
        <f>C261*D261</f>
        <v>7248</v>
      </c>
      <c r="F261" s="101"/>
      <c r="I261" s="175"/>
      <c r="J261" s="175"/>
    </row>
    <row r="262" spans="1:10">
      <c r="A262" s="158" t="s">
        <v>155</v>
      </c>
      <c r="B262" s="123" t="s">
        <v>156</v>
      </c>
      <c r="C262" s="187">
        <v>60000</v>
      </c>
      <c r="D262" s="125">
        <f>E259+E261</f>
        <v>17790</v>
      </c>
      <c r="E262" s="125">
        <f>IFERROR(D262/C262,"-")</f>
        <v>0.2965</v>
      </c>
      <c r="F262" s="101"/>
      <c r="I262" s="175"/>
      <c r="J262" s="175"/>
    </row>
    <row r="263" spans="1:10">
      <c r="A263" s="158" t="s">
        <v>157</v>
      </c>
      <c r="B263" s="123" t="s">
        <v>134</v>
      </c>
      <c r="C263" s="120">
        <v>2607</v>
      </c>
      <c r="D263" s="125">
        <f>E262</f>
        <v>0.2965</v>
      </c>
      <c r="E263" s="125">
        <f>IFERROR(C263*D263,0)</f>
        <v>772.9755</v>
      </c>
      <c r="F263" s="101"/>
      <c r="I263" s="175"/>
      <c r="J263" s="175"/>
    </row>
    <row r="264" spans="1:10">
      <c r="A264" s="7"/>
      <c r="B264" s="7"/>
      <c r="C264" s="7"/>
      <c r="D264" s="154"/>
      <c r="E264" s="101"/>
      <c r="F264" s="129">
        <f>E263</f>
        <v>772.9755</v>
      </c>
      <c r="I264" s="175"/>
      <c r="J264" s="175"/>
    </row>
    <row r="265" ht="11.25" customHeight="1" spans="1:10">
      <c r="A265" s="7"/>
      <c r="B265" s="7"/>
      <c r="C265" s="7"/>
      <c r="D265" s="101"/>
      <c r="E265" s="101"/>
      <c r="F265" s="101"/>
      <c r="I265" s="175"/>
      <c r="J265" s="175"/>
    </row>
    <row r="266" ht="11.25" customHeight="1" spans="1:7">
      <c r="A266" s="7"/>
      <c r="B266" s="7"/>
      <c r="C266" s="7"/>
      <c r="D266" s="101"/>
      <c r="E266" s="101"/>
      <c r="F266" s="101"/>
      <c r="G266" s="99"/>
    </row>
    <row r="267" spans="1:7">
      <c r="A267" s="4" t="s">
        <v>158</v>
      </c>
      <c r="B267" s="4"/>
      <c r="C267" s="4"/>
      <c r="D267" s="111"/>
      <c r="E267" s="111"/>
      <c r="F267" s="169">
        <f>+SUM(F194:F264)</f>
        <v>18395.8421483552</v>
      </c>
      <c r="G267" s="99"/>
    </row>
    <row r="268" ht="11.25" customHeight="1" spans="1:7">
      <c r="A268" s="7"/>
      <c r="B268" s="7"/>
      <c r="C268" s="7"/>
      <c r="D268" s="101"/>
      <c r="E268" s="101"/>
      <c r="F268" s="101"/>
      <c r="G268" s="99"/>
    </row>
    <row r="269" spans="1:7">
      <c r="A269" s="4" t="s">
        <v>159</v>
      </c>
      <c r="B269" s="4"/>
      <c r="C269" s="4"/>
      <c r="D269" s="111"/>
      <c r="E269" s="111"/>
      <c r="F269" s="130"/>
      <c r="G269" s="99"/>
    </row>
    <row r="270" ht="11.25" customHeight="1" spans="1:7">
      <c r="A270" s="7"/>
      <c r="B270" s="7"/>
      <c r="C270" s="7"/>
      <c r="D270" s="101"/>
      <c r="E270" s="101"/>
      <c r="F270" s="101"/>
      <c r="G270" s="99"/>
    </row>
    <row r="271" spans="1:7">
      <c r="A271" s="121" t="s">
        <v>25</v>
      </c>
      <c r="B271" s="121" t="s">
        <v>26</v>
      </c>
      <c r="C271" s="121" t="s">
        <v>19</v>
      </c>
      <c r="D271" s="122" t="s">
        <v>27</v>
      </c>
      <c r="E271" s="122" t="s">
        <v>28</v>
      </c>
      <c r="F271" s="122" t="s">
        <v>29</v>
      </c>
      <c r="G271" s="99"/>
    </row>
    <row r="272" spans="1:7">
      <c r="A272" s="7" t="s">
        <v>160</v>
      </c>
      <c r="B272" s="123" t="s">
        <v>70</v>
      </c>
      <c r="C272" s="166">
        <v>0.0833333333333333</v>
      </c>
      <c r="D272" s="149">
        <v>43.1</v>
      </c>
      <c r="E272" s="125">
        <f>C272*D272</f>
        <v>3.59166666666667</v>
      </c>
      <c r="F272" s="153"/>
      <c r="G272" s="99"/>
    </row>
    <row r="273" spans="1:7">
      <c r="A273" s="7" t="s">
        <v>161</v>
      </c>
      <c r="B273" s="123" t="s">
        <v>70</v>
      </c>
      <c r="C273" s="166">
        <v>0.0833333333333333</v>
      </c>
      <c r="D273" s="149">
        <v>35.09</v>
      </c>
      <c r="E273" s="125">
        <f>C273*D273</f>
        <v>2.92416666666667</v>
      </c>
      <c r="F273" s="153"/>
      <c r="G273" s="99"/>
    </row>
    <row r="274" spans="1:7">
      <c r="A274" s="7" t="s">
        <v>162</v>
      </c>
      <c r="B274" s="123" t="s">
        <v>70</v>
      </c>
      <c r="C274" s="166">
        <v>0.0833333333333333</v>
      </c>
      <c r="D274" s="149">
        <v>20.9</v>
      </c>
      <c r="E274" s="125">
        <f>C274*D274</f>
        <v>1.74166666666667</v>
      </c>
      <c r="F274" s="153"/>
      <c r="G274" s="99"/>
    </row>
    <row r="275" spans="1:7">
      <c r="A275" s="7" t="s">
        <v>163</v>
      </c>
      <c r="B275" s="123" t="s">
        <v>164</v>
      </c>
      <c r="C275" s="166">
        <v>0.0833333333333333</v>
      </c>
      <c r="D275" s="149">
        <v>100</v>
      </c>
      <c r="E275" s="125">
        <f>C275*D275</f>
        <v>8.33333333333333</v>
      </c>
      <c r="F275" s="153"/>
      <c r="G275" s="99"/>
    </row>
    <row r="276" spans="1:7">
      <c r="A276" s="7" t="s">
        <v>165</v>
      </c>
      <c r="B276" s="123" t="s">
        <v>164</v>
      </c>
      <c r="C276" s="166">
        <v>0.0833333333333333</v>
      </c>
      <c r="D276" s="149">
        <v>100</v>
      </c>
      <c r="E276" s="125">
        <f>C276*D276</f>
        <v>8.33333333333333</v>
      </c>
      <c r="F276" s="153"/>
      <c r="G276" s="99"/>
    </row>
    <row r="277" spans="1:7">
      <c r="A277" s="4"/>
      <c r="B277" s="4"/>
      <c r="C277" s="7"/>
      <c r="D277" s="154" t="s">
        <v>46</v>
      </c>
      <c r="E277" s="101">
        <f>$B$48</f>
        <v>0.7</v>
      </c>
      <c r="F277" s="129">
        <f>SUM(E272:E276)*E277</f>
        <v>17.4469166666667</v>
      </c>
      <c r="G277" s="99"/>
    </row>
    <row r="278" ht="11.25" customHeight="1" spans="1:7">
      <c r="A278" s="7"/>
      <c r="B278" s="7"/>
      <c r="C278" s="7"/>
      <c r="D278" s="101"/>
      <c r="E278" s="101"/>
      <c r="F278" s="101"/>
      <c r="G278" s="99"/>
    </row>
    <row r="279" spans="1:7">
      <c r="A279" s="4" t="s">
        <v>166</v>
      </c>
      <c r="B279" s="4"/>
      <c r="C279" s="4"/>
      <c r="D279" s="111"/>
      <c r="E279" s="111"/>
      <c r="F279" s="169">
        <f>+F277</f>
        <v>17.4469166666667</v>
      </c>
      <c r="G279" s="99"/>
    </row>
    <row r="280" ht="11.25" customHeight="1" spans="1:7">
      <c r="A280" s="7"/>
      <c r="B280" s="7"/>
      <c r="C280" s="7"/>
      <c r="D280" s="101"/>
      <c r="E280" s="101"/>
      <c r="F280" s="101"/>
      <c r="G280" s="99"/>
    </row>
    <row r="281" spans="1:6">
      <c r="A281" s="4" t="s">
        <v>167</v>
      </c>
      <c r="B281" s="4"/>
      <c r="C281" s="4"/>
      <c r="D281" s="111"/>
      <c r="E281" s="111"/>
      <c r="F281" s="130"/>
    </row>
    <row r="282" ht="11.25" customHeight="1" spans="1:6">
      <c r="A282" s="7"/>
      <c r="B282" s="7"/>
      <c r="C282" s="7"/>
      <c r="D282" s="101"/>
      <c r="E282" s="101"/>
      <c r="F282" s="101"/>
    </row>
    <row r="283" spans="1:6">
      <c r="A283" s="121" t="s">
        <v>25</v>
      </c>
      <c r="B283" s="121" t="s">
        <v>26</v>
      </c>
      <c r="C283" s="121" t="s">
        <v>19</v>
      </c>
      <c r="D283" s="122" t="s">
        <v>27</v>
      </c>
      <c r="E283" s="122" t="s">
        <v>28</v>
      </c>
      <c r="F283" s="122" t="s">
        <v>29</v>
      </c>
    </row>
    <row r="284" spans="1:6">
      <c r="A284" s="7" t="s">
        <v>168</v>
      </c>
      <c r="B284" s="188" t="s">
        <v>164</v>
      </c>
      <c r="C284" s="168">
        <f>C194</f>
        <v>1</v>
      </c>
      <c r="D284" s="149">
        <v>325</v>
      </c>
      <c r="E284" s="125">
        <f>+D284*C284</f>
        <v>325</v>
      </c>
      <c r="F284" s="153"/>
    </row>
    <row r="285" spans="1:6">
      <c r="A285" s="7" t="s">
        <v>169</v>
      </c>
      <c r="B285" s="188" t="s">
        <v>31</v>
      </c>
      <c r="C285" s="189">
        <v>60</v>
      </c>
      <c r="D285" s="190">
        <f>SUM(E284:E284)</f>
        <v>325</v>
      </c>
      <c r="E285" s="190">
        <f>+D285/C285</f>
        <v>5.41666666666667</v>
      </c>
      <c r="F285" s="153"/>
    </row>
    <row r="286" spans="1:6">
      <c r="A286" s="7" t="s">
        <v>170</v>
      </c>
      <c r="B286" s="123" t="s">
        <v>70</v>
      </c>
      <c r="C286" s="168">
        <f>+C284</f>
        <v>1</v>
      </c>
      <c r="D286" s="149">
        <v>75</v>
      </c>
      <c r="E286" s="125">
        <f>C286*D286</f>
        <v>75</v>
      </c>
      <c r="F286" s="153"/>
    </row>
    <row r="287" spans="1:6">
      <c r="A287" s="7" t="s">
        <v>171</v>
      </c>
      <c r="B287" s="188" t="s">
        <v>31</v>
      </c>
      <c r="C287" s="189">
        <v>1</v>
      </c>
      <c r="D287" s="190">
        <f>+E286</f>
        <v>75</v>
      </c>
      <c r="E287" s="190">
        <f>+D287/C287</f>
        <v>75</v>
      </c>
      <c r="F287" s="153"/>
    </row>
    <row r="288" spans="1:6">
      <c r="A288" s="191"/>
      <c r="B288" s="191"/>
      <c r="C288" s="191"/>
      <c r="D288" s="154" t="s">
        <v>46</v>
      </c>
      <c r="E288" s="101">
        <f>$B$48</f>
        <v>0.7</v>
      </c>
      <c r="F288" s="192">
        <f>(E285+E287)*E288</f>
        <v>56.2916666666667</v>
      </c>
    </row>
    <row r="289" s="199" customFormat="1" ht="11.25" customHeight="1" spans="1:7">
      <c r="A289" s="7"/>
      <c r="B289" s="7"/>
      <c r="C289" s="7"/>
      <c r="D289" s="101"/>
      <c r="E289" s="101"/>
      <c r="F289" s="101"/>
      <c r="G289" s="205"/>
    </row>
    <row r="290" spans="1:6">
      <c r="A290" s="4" t="s">
        <v>172</v>
      </c>
      <c r="B290" s="4"/>
      <c r="C290" s="4"/>
      <c r="D290" s="111"/>
      <c r="E290" s="111"/>
      <c r="F290" s="169">
        <f>+F288</f>
        <v>56.2916666666667</v>
      </c>
    </row>
    <row r="291" spans="1:6">
      <c r="A291" s="4"/>
      <c r="B291" s="4"/>
      <c r="C291" s="4"/>
      <c r="D291" s="111"/>
      <c r="E291" s="111"/>
      <c r="F291" s="129"/>
    </row>
    <row r="292" spans="1:6">
      <c r="A292" s="4" t="s">
        <v>173</v>
      </c>
      <c r="B292" s="4"/>
      <c r="C292" s="4"/>
      <c r="D292" s="111"/>
      <c r="E292" s="111"/>
      <c r="F292" s="130"/>
    </row>
    <row r="293" spans="1:6">
      <c r="A293" s="7"/>
      <c r="B293" s="7"/>
      <c r="C293" s="7"/>
      <c r="D293" s="101"/>
      <c r="E293" s="101"/>
      <c r="F293" s="101"/>
    </row>
    <row r="294" spans="1:6">
      <c r="A294" s="121" t="s">
        <v>25</v>
      </c>
      <c r="B294" s="121" t="s">
        <v>26</v>
      </c>
      <c r="C294" s="121" t="s">
        <v>19</v>
      </c>
      <c r="D294" s="122" t="s">
        <v>27</v>
      </c>
      <c r="E294" s="122" t="s">
        <v>28</v>
      </c>
      <c r="F294" s="122" t="s">
        <v>29</v>
      </c>
    </row>
    <row r="295" spans="1:6">
      <c r="A295" s="7" t="s">
        <v>174</v>
      </c>
      <c r="B295" s="188" t="s">
        <v>26</v>
      </c>
      <c r="C295" s="151">
        <v>20</v>
      </c>
      <c r="D295" s="149">
        <v>40</v>
      </c>
      <c r="E295" s="125">
        <f>D295*C295</f>
        <v>800</v>
      </c>
      <c r="F295" s="153"/>
    </row>
    <row r="296" ht="11.25" customHeight="1" spans="1:6">
      <c r="A296" s="7" t="s">
        <v>175</v>
      </c>
      <c r="B296" s="188" t="s">
        <v>26</v>
      </c>
      <c r="C296" s="206">
        <f>20/12</f>
        <v>1.66666666666667</v>
      </c>
      <c r="D296" s="207">
        <v>350</v>
      </c>
      <c r="E296" s="190">
        <f>D296*C296</f>
        <v>583.333333333333</v>
      </c>
      <c r="F296" s="153"/>
    </row>
    <row r="297" ht="11.25" customHeight="1" spans="1:6">
      <c r="A297" s="7"/>
      <c r="B297" s="188"/>
      <c r="C297" s="208"/>
      <c r="D297" s="190"/>
      <c r="E297" s="190"/>
      <c r="F297" s="153"/>
    </row>
    <row r="298" ht="11.25" customHeight="1" spans="1:6">
      <c r="A298" s="4" t="s">
        <v>176</v>
      </c>
      <c r="B298" s="4"/>
      <c r="C298" s="4"/>
      <c r="D298" s="111"/>
      <c r="E298" s="111"/>
      <c r="F298" s="169">
        <f>E295+E296</f>
        <v>1383.33333333333</v>
      </c>
    </row>
    <row r="299" spans="1:6">
      <c r="A299" s="4"/>
      <c r="B299" s="7"/>
      <c r="C299" s="7"/>
      <c r="D299" s="101"/>
      <c r="E299" s="101"/>
      <c r="F299" s="127"/>
    </row>
    <row r="300" ht="17.25" customHeight="1" spans="1:6">
      <c r="A300" s="4" t="s">
        <v>177</v>
      </c>
      <c r="B300" s="7"/>
      <c r="C300" s="7"/>
      <c r="D300" s="101"/>
      <c r="E300" s="101"/>
      <c r="F300" s="126">
        <f>+F152+F186+F267+F279+F290+F298</f>
        <v>34971.6456435552</v>
      </c>
    </row>
    <row r="301" ht="11.25" customHeight="1" spans="1:6">
      <c r="A301" s="7"/>
      <c r="B301" s="7"/>
      <c r="C301" s="7"/>
      <c r="D301" s="101"/>
      <c r="E301" s="101"/>
      <c r="F301" s="101"/>
    </row>
    <row r="302" spans="1:6">
      <c r="A302" s="4" t="s">
        <v>178</v>
      </c>
      <c r="B302" s="7"/>
      <c r="C302" s="7"/>
      <c r="D302" s="101"/>
      <c r="E302" s="101"/>
      <c r="F302" s="101"/>
    </row>
    <row r="303" ht="11.25" customHeight="1" spans="1:6">
      <c r="A303" s="7"/>
      <c r="B303" s="7"/>
      <c r="C303" s="7"/>
      <c r="D303" s="101"/>
      <c r="E303" s="101"/>
      <c r="F303" s="101"/>
    </row>
    <row r="304" spans="1:6">
      <c r="A304" s="121" t="s">
        <v>25</v>
      </c>
      <c r="B304" s="121" t="s">
        <v>26</v>
      </c>
      <c r="C304" s="121" t="s">
        <v>19</v>
      </c>
      <c r="D304" s="122" t="s">
        <v>27</v>
      </c>
      <c r="E304" s="122" t="s">
        <v>28</v>
      </c>
      <c r="F304" s="122" t="s">
        <v>29</v>
      </c>
    </row>
    <row r="305" spans="1:6">
      <c r="A305" s="7" t="s">
        <v>179</v>
      </c>
      <c r="B305" s="123" t="s">
        <v>5</v>
      </c>
      <c r="C305" s="128">
        <f>'7.BDI'!C18*100</f>
        <v>27.01</v>
      </c>
      <c r="D305" s="125">
        <f>+F300</f>
        <v>34971.6456435552</v>
      </c>
      <c r="E305" s="125">
        <f>C305*D305/100</f>
        <v>9445.84148832426</v>
      </c>
      <c r="F305" s="101"/>
    </row>
    <row r="306" spans="1:6">
      <c r="A306" s="7"/>
      <c r="B306" s="7"/>
      <c r="C306" s="7"/>
      <c r="D306" s="101"/>
      <c r="E306" s="101"/>
      <c r="F306" s="129">
        <f>+E305</f>
        <v>9445.84148832426</v>
      </c>
    </row>
    <row r="307" ht="11.25" customHeight="1" spans="1:6">
      <c r="A307" s="7"/>
      <c r="B307" s="7"/>
      <c r="C307" s="7"/>
      <c r="D307" s="101"/>
      <c r="E307" s="101"/>
      <c r="F307" s="101"/>
    </row>
    <row r="308" spans="1:6">
      <c r="A308" s="4" t="s">
        <v>180</v>
      </c>
      <c r="B308" s="7"/>
      <c r="C308" s="7"/>
      <c r="D308" s="101"/>
      <c r="E308" s="101"/>
      <c r="F308" s="127">
        <f>F306</f>
        <v>9445.84148832426</v>
      </c>
    </row>
    <row r="309" spans="1:6">
      <c r="A309" s="4"/>
      <c r="B309" s="4"/>
      <c r="C309" s="4"/>
      <c r="D309" s="111"/>
      <c r="E309" s="111"/>
      <c r="F309" s="130"/>
    </row>
    <row r="310" ht="11.25" customHeight="1" spans="1:6">
      <c r="A310" s="7"/>
      <c r="B310" s="7"/>
      <c r="C310" s="7"/>
      <c r="D310" s="101"/>
      <c r="E310" s="101"/>
      <c r="F310" s="101"/>
    </row>
    <row r="311" ht="24.75" customHeight="1" spans="1:6">
      <c r="A311" s="4" t="s">
        <v>181</v>
      </c>
      <c r="B311" s="7"/>
      <c r="C311" s="7"/>
      <c r="D311" s="101"/>
      <c r="E311" s="101"/>
      <c r="F311" s="127">
        <f>F300+F308</f>
        <v>44417.4871318795</v>
      </c>
    </row>
    <row r="312" ht="12.6" customHeight="1" spans="1:6">
      <c r="A312" s="209"/>
      <c r="B312" s="209"/>
      <c r="C312" s="209"/>
      <c r="D312" s="210"/>
      <c r="E312" s="210"/>
      <c r="F312" s="210"/>
    </row>
    <row r="313" ht="13.8" spans="1:6">
      <c r="A313" s="211"/>
      <c r="B313" s="211"/>
      <c r="C313" s="211"/>
      <c r="D313" s="212"/>
      <c r="E313" s="212"/>
      <c r="F313" s="101"/>
    </row>
    <row r="314" ht="16.15" customHeight="1" spans="1:7">
      <c r="A314" s="7" t="s">
        <v>182</v>
      </c>
      <c r="B314" s="7"/>
      <c r="C314" s="7"/>
      <c r="D314" s="213">
        <v>150</v>
      </c>
      <c r="E314" s="101" t="s">
        <v>183</v>
      </c>
      <c r="F314" s="101"/>
      <c r="G314" s="100" t="s">
        <v>184</v>
      </c>
    </row>
    <row r="315" spans="1:6">
      <c r="A315" s="7"/>
      <c r="B315" s="7"/>
      <c r="C315" s="7"/>
      <c r="D315" s="101"/>
      <c r="E315" s="101"/>
      <c r="F315" s="101"/>
    </row>
    <row r="316" ht="25.5" customHeight="1" spans="1:7">
      <c r="A316" s="4" t="s">
        <v>185</v>
      </c>
      <c r="B316" s="4"/>
      <c r="C316" s="4"/>
      <c r="D316" s="111"/>
      <c r="E316" s="142" t="s">
        <v>186</v>
      </c>
      <c r="F316" s="214">
        <f>IFERROR(F311/D314,"-")</f>
        <v>296.116580879196</v>
      </c>
      <c r="G316" s="100" t="s">
        <v>184</v>
      </c>
    </row>
    <row r="317" ht="12.6" customHeight="1" spans="1:6">
      <c r="A317" s="133"/>
      <c r="B317" s="133"/>
      <c r="C317" s="133"/>
      <c r="D317" s="134"/>
      <c r="E317" s="134"/>
      <c r="F317" s="134"/>
    </row>
    <row r="318" s="95" customFormat="1" ht="9.75" customHeight="1" spans="1:7">
      <c r="A318" s="135"/>
      <c r="B318" s="100"/>
      <c r="C318" s="100"/>
      <c r="D318" s="100"/>
      <c r="E318" s="100"/>
      <c r="F318" s="100"/>
      <c r="G318" s="100"/>
    </row>
    <row r="319" s="95" customFormat="1" ht="9.75" customHeight="1" spans="1:7">
      <c r="A319" s="135"/>
      <c r="B319" s="100"/>
      <c r="C319" s="100"/>
      <c r="D319" s="100"/>
      <c r="E319" s="100"/>
      <c r="F319" s="100"/>
      <c r="G319" s="100"/>
    </row>
    <row r="320" s="95" customFormat="1" ht="9.75" customHeight="1" spans="1:7">
      <c r="A320" s="135"/>
      <c r="B320" s="100"/>
      <c r="C320" s="100"/>
      <c r="D320" s="100"/>
      <c r="E320" s="100"/>
      <c r="F320" s="100"/>
      <c r="G320" s="100"/>
    </row>
    <row r="350" ht="9" customHeight="1" spans="4:7">
      <c r="D350" s="99"/>
      <c r="E350" s="99"/>
      <c r="F350" s="99"/>
      <c r="G350" s="99"/>
    </row>
  </sheetData>
  <mergeCells count="7">
    <mergeCell ref="A8:F8"/>
    <mergeCell ref="A9:F9"/>
    <mergeCell ref="A11:F11"/>
    <mergeCell ref="A21:C21"/>
    <mergeCell ref="A36:E36"/>
    <mergeCell ref="A37:D37"/>
    <mergeCell ref="A44:D44"/>
  </mergeCells>
  <hyperlinks>
    <hyperlink ref="A208" location="AbaRemun" display="3.1.2. Remuneração do Capital"/>
    <hyperlink ref="A192" location="AbaDeprec" display="3.1.1. Depreciação"/>
  </hyperlinks>
  <pageMargins left="0.905511811023622" right="0.511811023622047" top="0.748031496062992" bottom="0.748031496062992" header="0.31496062992126" footer="0.31496062992126"/>
  <pageSetup paperSize="9" fitToHeight="0" orientation="landscape"/>
  <headerFooter alignWithMargins="0">
    <oddFooter>&amp;R&amp;P de &amp;N</oddFooter>
  </headerFooter>
  <rowBreaks count="4" manualBreakCount="4">
    <brk id="49" max="5" man="1"/>
    <brk id="119" max="5" man="1"/>
    <brk id="187" max="5" man="1"/>
    <brk id="25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8"/>
  <sheetViews>
    <sheetView view="pageBreakPreview" zoomScaleNormal="100" topLeftCell="A77" workbookViewId="0">
      <selection activeCell="E104" sqref="E104"/>
    </sheetView>
  </sheetViews>
  <sheetFormatPr defaultColWidth="9" defaultRowHeight="13.2"/>
  <cols>
    <col min="1" max="1" width="47.8888888888889" style="99" customWidth="1"/>
    <col min="2" max="2" width="16" style="99" customWidth="1"/>
    <col min="3" max="3" width="11.8518518518519" style="99" customWidth="1"/>
    <col min="4" max="4" width="14.712962962963" style="100" customWidth="1"/>
    <col min="5" max="5" width="15.4259259259259" style="100" customWidth="1"/>
    <col min="6" max="6" width="13.287037037037" style="100" customWidth="1"/>
    <col min="7" max="7" width="28.1388888888889" style="100" customWidth="1"/>
    <col min="8" max="8" width="9.13888888888889" style="99"/>
    <col min="9" max="9" width="14.5740740740741" style="99" customWidth="1"/>
    <col min="10" max="10" width="13.4259259259259" style="99" customWidth="1"/>
    <col min="11" max="16384" width="9.13888888888889" style="99"/>
  </cols>
  <sheetData>
    <row r="1" spans="1:6">
      <c r="A1" s="4" t="s">
        <v>11</v>
      </c>
      <c r="B1" s="7"/>
      <c r="C1" s="7"/>
      <c r="D1" s="101"/>
      <c r="E1" s="101"/>
      <c r="F1" s="101"/>
    </row>
    <row r="2" spans="1:6">
      <c r="A2" s="6" t="s">
        <v>12</v>
      </c>
      <c r="B2" s="7"/>
      <c r="C2" s="7"/>
      <c r="D2" s="101"/>
      <c r="E2" s="101"/>
      <c r="F2" s="101"/>
    </row>
    <row r="3" s="95" customFormat="1" ht="15.6" customHeight="1" spans="1:7">
      <c r="A3" s="7" t="s">
        <v>13</v>
      </c>
      <c r="B3" s="102"/>
      <c r="C3" s="103"/>
      <c r="D3" s="103"/>
      <c r="E3" s="103"/>
      <c r="F3" s="103"/>
      <c r="G3" s="100"/>
    </row>
    <row r="4" s="95" customFormat="1" ht="15.6" customHeight="1" spans="1:7">
      <c r="A4" s="6" t="s">
        <v>14</v>
      </c>
      <c r="B4" s="103"/>
      <c r="C4" s="103"/>
      <c r="D4" s="103"/>
      <c r="E4" s="103"/>
      <c r="F4" s="103"/>
      <c r="G4" s="100"/>
    </row>
    <row r="5" s="95" customFormat="1" ht="15.6" customHeight="1" spans="1:7">
      <c r="A5" s="7"/>
      <c r="B5" s="103"/>
      <c r="C5" s="103"/>
      <c r="D5" s="103"/>
      <c r="E5" s="103"/>
      <c r="F5" s="103"/>
      <c r="G5" s="100"/>
    </row>
    <row r="6" s="95" customFormat="1" ht="15.6" customHeight="1" spans="1:7">
      <c r="A6" s="7"/>
      <c r="B6" s="103"/>
      <c r="C6" s="103"/>
      <c r="D6" s="103"/>
      <c r="E6" s="103"/>
      <c r="F6" s="103"/>
      <c r="G6" s="100"/>
    </row>
    <row r="7" s="95" customFormat="1" ht="16.5" customHeight="1" spans="1:7">
      <c r="A7" s="7"/>
      <c r="B7" s="103"/>
      <c r="C7" s="103"/>
      <c r="D7" s="101"/>
      <c r="E7" s="101"/>
      <c r="F7" s="101"/>
      <c r="G7" s="100"/>
    </row>
    <row r="8" s="96" customFormat="1" ht="17.4" spans="1:7">
      <c r="A8" s="61" t="s">
        <v>0</v>
      </c>
      <c r="B8" s="61"/>
      <c r="C8" s="61"/>
      <c r="D8" s="61"/>
      <c r="E8" s="61"/>
      <c r="F8" s="61"/>
      <c r="G8" s="104"/>
    </row>
    <row r="9" s="96" customFormat="1" ht="21.75" customHeight="1" spans="1:7">
      <c r="A9" s="105" t="s">
        <v>187</v>
      </c>
      <c r="B9" s="105"/>
      <c r="C9" s="105"/>
      <c r="D9" s="105"/>
      <c r="E9" s="105"/>
      <c r="F9" s="105"/>
      <c r="G9" s="104"/>
    </row>
    <row r="10" s="95" customFormat="1" ht="10.9" customHeight="1" spans="1:7">
      <c r="A10" s="106"/>
      <c r="B10" s="107"/>
      <c r="C10" s="107"/>
      <c r="D10" s="108"/>
      <c r="E10" s="108"/>
      <c r="F10" s="108"/>
      <c r="G10" s="100"/>
    </row>
    <row r="11" s="95" customFormat="1" ht="15.75" customHeight="1" spans="1:7">
      <c r="A11" s="109" t="s">
        <v>2</v>
      </c>
      <c r="B11" s="109"/>
      <c r="C11" s="109"/>
      <c r="D11" s="109"/>
      <c r="E11" s="109"/>
      <c r="F11" s="109"/>
      <c r="G11" s="100"/>
    </row>
    <row r="12" s="95" customFormat="1" ht="15.75" customHeight="1" spans="1:7">
      <c r="A12" s="110" t="s">
        <v>3</v>
      </c>
      <c r="B12" s="101"/>
      <c r="C12" s="101"/>
      <c r="D12" s="111"/>
      <c r="E12" s="111" t="s">
        <v>4</v>
      </c>
      <c r="F12" s="110" t="s">
        <v>5</v>
      </c>
      <c r="G12" s="100"/>
    </row>
    <row r="13" s="97" customFormat="1" ht="15.75" customHeight="1" spans="1:7">
      <c r="A13" s="111" t="str">
        <f>A52</f>
        <v>1. Mão-de-obra</v>
      </c>
      <c r="B13" s="112"/>
      <c r="C13" s="111"/>
      <c r="D13" s="111"/>
      <c r="E13" s="113">
        <f>+F115</f>
        <v>8632.9693896</v>
      </c>
      <c r="F13" s="114">
        <f>IFERROR(E13/$E$36,0)</f>
        <v>0.495512455045</v>
      </c>
      <c r="G13" s="115"/>
    </row>
    <row r="14" s="95" customFormat="1" ht="15.75" customHeight="1" spans="1:7">
      <c r="A14" s="101" t="str">
        <f>A54</f>
        <v>1.1. Separador Turno Dia</v>
      </c>
      <c r="B14" s="136"/>
      <c r="C14" s="101"/>
      <c r="D14" s="101"/>
      <c r="E14" s="137">
        <f>F65</f>
        <v>6473.1825956</v>
      </c>
      <c r="F14" s="138">
        <f>IFERROR(E14/$E$36,0)</f>
        <v>0.371545693624768</v>
      </c>
      <c r="G14" s="100"/>
    </row>
    <row r="15" s="95" customFormat="1" ht="15.75" customHeight="1" spans="1:7">
      <c r="A15" s="101" t="str">
        <f>A67</f>
        <v>1.2. Operador de Retroescavadeira / Carregadeira</v>
      </c>
      <c r="B15" s="136"/>
      <c r="C15" s="101"/>
      <c r="D15" s="101"/>
      <c r="E15" s="137">
        <f>F80</f>
        <v>484.928794</v>
      </c>
      <c r="F15" s="138">
        <f t="shared" ref="F15:F20" si="0">IFERROR(E15/$E$36,0)</f>
        <v>0.0278337900197379</v>
      </c>
      <c r="G15" s="100"/>
    </row>
    <row r="16" s="95" customFormat="1" ht="15.75" customHeight="1" spans="1:7">
      <c r="A16" s="101" t="str">
        <f>A83</f>
        <v>1.3. Vale Transporte</v>
      </c>
      <c r="B16" s="136"/>
      <c r="C16" s="101"/>
      <c r="D16" s="101"/>
      <c r="E16" s="137">
        <f>F89</f>
        <v>368.28</v>
      </c>
      <c r="F16" s="138">
        <f t="shared" si="0"/>
        <v>0.0211384193211448</v>
      </c>
      <c r="G16" s="100"/>
    </row>
    <row r="17" s="95" customFormat="1" ht="15.75" customHeight="1" spans="1:7">
      <c r="A17" s="101" t="str">
        <f>A91</f>
        <v>1.4. Vale-refeição (diário)</v>
      </c>
      <c r="B17" s="136"/>
      <c r="C17" s="101"/>
      <c r="D17" s="101"/>
      <c r="E17" s="137">
        <f>F95</f>
        <v>816.333</v>
      </c>
      <c r="F17" s="138">
        <f t="shared" si="0"/>
        <v>0.0468556241438257</v>
      </c>
      <c r="G17" s="100"/>
    </row>
    <row r="18" s="95" customFormat="1" ht="15.75" customHeight="1" spans="1:7">
      <c r="A18" s="101" t="str">
        <f>A97</f>
        <v>1.5. Auxílio Alimentação (mensal)</v>
      </c>
      <c r="B18" s="136"/>
      <c r="C18" s="101"/>
      <c r="D18" s="101"/>
      <c r="E18" s="137">
        <f>F101</f>
        <v>11.182</v>
      </c>
      <c r="F18" s="138">
        <f t="shared" si="0"/>
        <v>0.000641820910310203</v>
      </c>
      <c r="G18" s="100"/>
    </row>
    <row r="19" s="95" customFormat="1" ht="15.75" customHeight="1" spans="1:7">
      <c r="A19" s="101" t="str">
        <f>A103</f>
        <v>1.6. Auxílio Lanche (mensal)</v>
      </c>
      <c r="B19" s="193"/>
      <c r="C19" s="101"/>
      <c r="D19" s="101"/>
      <c r="E19" s="140">
        <f>F107</f>
        <v>392.7</v>
      </c>
      <c r="F19" s="138">
        <f t="shared" si="0"/>
        <v>0.0225400707815075</v>
      </c>
      <c r="G19" s="100"/>
    </row>
    <row r="20" s="97" customFormat="1" ht="15.75" customHeight="1" spans="1:7">
      <c r="A20" s="139" t="str">
        <f>A109</f>
        <v>1.7. Outros benefícios (mensal) de acordo com disposto em convenção coletiva</v>
      </c>
      <c r="B20" s="139"/>
      <c r="C20" s="139"/>
      <c r="D20" s="101"/>
      <c r="E20" s="140">
        <f>F113</f>
        <v>86.363</v>
      </c>
      <c r="F20" s="138">
        <f t="shared" si="0"/>
        <v>0.00495703624370596</v>
      </c>
      <c r="G20" s="115"/>
    </row>
    <row r="21" s="97" customFormat="1" ht="15.75" customHeight="1" spans="1:7">
      <c r="A21" s="116" t="str">
        <f>A117</f>
        <v>2. Uniformes e Equipamentos de Proteção Individual</v>
      </c>
      <c r="B21" s="116"/>
      <c r="C21" s="116"/>
      <c r="D21" s="111"/>
      <c r="E21" s="113">
        <f>+F149</f>
        <v>309.336166666667</v>
      </c>
      <c r="F21" s="114">
        <f t="shared" ref="F21:F35" si="1">IFERROR(E21/$E$36,0)</f>
        <v>0.0177551797604962</v>
      </c>
      <c r="G21" s="115"/>
    </row>
    <row r="22" s="97" customFormat="1" ht="15.75" customHeight="1" spans="1:7">
      <c r="A22" s="116" t="str">
        <f>A151</f>
        <v>3. Veículos, Equipamentos e Imóveis</v>
      </c>
      <c r="B22" s="117"/>
      <c r="C22" s="111"/>
      <c r="D22" s="111"/>
      <c r="E22" s="113">
        <f>+F249</f>
        <v>4774.139410875</v>
      </c>
      <c r="F22" s="114">
        <f t="shared" si="1"/>
        <v>0.274024548617028</v>
      </c>
      <c r="G22" s="115"/>
    </row>
    <row r="23" s="95" customFormat="1" ht="15.75" customHeight="1" spans="1:7">
      <c r="A23" s="139" t="str">
        <f>A153</f>
        <v>3.1. Veículo Carregadeira</v>
      </c>
      <c r="B23" s="141"/>
      <c r="C23" s="101"/>
      <c r="D23" s="101"/>
      <c r="E23" s="137">
        <f>SUM(E24:E29)</f>
        <v>3880.595171875</v>
      </c>
      <c r="F23" s="138">
        <f t="shared" si="1"/>
        <v>0.22273717812182</v>
      </c>
      <c r="G23" s="100"/>
    </row>
    <row r="24" s="95" customFormat="1" ht="15.75" customHeight="1" spans="1:7">
      <c r="A24" s="139" t="str">
        <f>A155</f>
        <v>3.1.1. Depreciação</v>
      </c>
      <c r="B24" s="141"/>
      <c r="C24" s="101"/>
      <c r="D24" s="101"/>
      <c r="E24" s="137">
        <f>F164</f>
        <v>171.0975</v>
      </c>
      <c r="F24" s="138">
        <f t="shared" si="1"/>
        <v>0.00982060035787872</v>
      </c>
      <c r="G24" s="100"/>
    </row>
    <row r="25" s="95" customFormat="1" ht="15.75" customHeight="1" spans="1:7">
      <c r="A25" s="139" t="str">
        <f>A166</f>
        <v>3.1.2. Remuneração do Capital</v>
      </c>
      <c r="B25" s="141"/>
      <c r="C25" s="101"/>
      <c r="D25" s="101"/>
      <c r="E25" s="137">
        <f>F175</f>
        <v>255.070921875</v>
      </c>
      <c r="F25" s="138">
        <f t="shared" si="1"/>
        <v>0.014640480349801</v>
      </c>
      <c r="G25" s="100"/>
    </row>
    <row r="26" s="95" customFormat="1" ht="15.75" customHeight="1" spans="1:7">
      <c r="A26" s="139" t="str">
        <f>A177</f>
        <v>3.1.3. Impostos e Seguros</v>
      </c>
      <c r="B26" s="141"/>
      <c r="C26" s="101"/>
      <c r="D26" s="101"/>
      <c r="E26" s="137">
        <f>F183</f>
        <v>69.83925</v>
      </c>
      <c r="F26" s="138">
        <f t="shared" si="1"/>
        <v>0.00400861125115201</v>
      </c>
      <c r="G26" s="100"/>
    </row>
    <row r="27" s="95" customFormat="1" ht="15.75" customHeight="1" spans="1:7">
      <c r="A27" s="139" t="str">
        <f>A185</f>
        <v>3.1.4. Consumos</v>
      </c>
      <c r="B27" s="141"/>
      <c r="C27" s="101"/>
      <c r="D27" s="101"/>
      <c r="E27" s="137">
        <f>F201</f>
        <v>2810.5875</v>
      </c>
      <c r="F27" s="138">
        <f t="shared" si="1"/>
        <v>0.161321215145455</v>
      </c>
      <c r="G27" s="100"/>
    </row>
    <row r="28" s="95" customFormat="1" ht="15.75" customHeight="1" spans="1:7">
      <c r="A28" s="139" t="str">
        <f>A203</f>
        <v>3.1.5. Manutenção</v>
      </c>
      <c r="B28" s="141"/>
      <c r="C28" s="101"/>
      <c r="D28" s="101"/>
      <c r="E28" s="137">
        <f>F206</f>
        <v>525</v>
      </c>
      <c r="F28" s="138">
        <f t="shared" si="1"/>
        <v>0.030133784467256</v>
      </c>
      <c r="G28" s="100"/>
    </row>
    <row r="29" s="95" customFormat="1" ht="15.75" customHeight="1" spans="1:7">
      <c r="A29" s="139" t="str">
        <f>A208</f>
        <v>3.1.6. Pneus</v>
      </c>
      <c r="B29" s="141"/>
      <c r="C29" s="101"/>
      <c r="D29" s="101"/>
      <c r="E29" s="137">
        <f>F215</f>
        <v>49</v>
      </c>
      <c r="F29" s="138">
        <f t="shared" si="1"/>
        <v>0.00281248655027722</v>
      </c>
      <c r="G29" s="100"/>
    </row>
    <row r="30" s="97" customFormat="1" ht="15.75" customHeight="1" spans="1:7">
      <c r="A30" s="7" t="s">
        <v>188</v>
      </c>
      <c r="B30" s="4"/>
      <c r="C30" s="4"/>
      <c r="D30" s="4"/>
      <c r="E30" s="140">
        <f>SUM(E31:E33)</f>
        <v>893.544239</v>
      </c>
      <c r="F30" s="138">
        <f t="shared" si="1"/>
        <v>0.0512873704952081</v>
      </c>
      <c r="G30" s="115"/>
    </row>
    <row r="31" s="97" customFormat="1" ht="15.75" customHeight="1" spans="1:7">
      <c r="A31" s="139" t="str">
        <f>A219</f>
        <v>3.2.1. Depreciação</v>
      </c>
      <c r="B31" s="117"/>
      <c r="C31" s="111"/>
      <c r="D31" s="111"/>
      <c r="E31" s="140">
        <f>F228</f>
        <v>166.666666666667</v>
      </c>
      <c r="F31" s="138">
        <f t="shared" si="1"/>
        <v>0.00956628078325589</v>
      </c>
      <c r="G31" s="115"/>
    </row>
    <row r="32" s="97" customFormat="1" ht="15.75" customHeight="1" spans="1:7">
      <c r="A32" s="139" t="str">
        <f>A230</f>
        <v>3.2.2. Remuneração do Capital</v>
      </c>
      <c r="B32" s="117"/>
      <c r="C32" s="111"/>
      <c r="D32" s="111"/>
      <c r="E32" s="140">
        <f>F239</f>
        <v>183.333333333333</v>
      </c>
      <c r="F32" s="138">
        <f t="shared" si="1"/>
        <v>0.0105229088615814</v>
      </c>
      <c r="G32" s="115"/>
    </row>
    <row r="33" s="97" customFormat="1" ht="15.75" customHeight="1" spans="1:7">
      <c r="A33" s="139" t="str">
        <f>A241</f>
        <v>3.2.3. Licenciamentos</v>
      </c>
      <c r="B33" s="117"/>
      <c r="C33" s="111"/>
      <c r="D33" s="111"/>
      <c r="E33" s="140">
        <f>F247</f>
        <v>543.544239</v>
      </c>
      <c r="F33" s="138">
        <f t="shared" si="1"/>
        <v>0.0311981808503708</v>
      </c>
      <c r="G33" s="115"/>
    </row>
    <row r="34" s="97" customFormat="1" ht="15.75" customHeight="1" spans="1:7">
      <c r="A34" s="116" t="str">
        <f>A251</f>
        <v>4. Ferramentas e Materiais de Consumo</v>
      </c>
      <c r="B34" s="117"/>
      <c r="C34" s="111"/>
      <c r="D34" s="111"/>
      <c r="E34" s="113">
        <f>+F259</f>
        <v>0.82575</v>
      </c>
      <c r="F34" s="114">
        <f t="shared" si="1"/>
        <v>4.73961381406412e-5</v>
      </c>
      <c r="G34" s="115"/>
    </row>
    <row r="35" s="97" customFormat="1" ht="15.75" customHeight="1" spans="1:7">
      <c r="A35" s="116" t="str">
        <f>A264</f>
        <v>5. Benefícios e Despesas Indiretas - BDI</v>
      </c>
      <c r="B35" s="117"/>
      <c r="C35" s="111"/>
      <c r="D35" s="111"/>
      <c r="E35" s="113">
        <f>+F270</f>
        <v>3705.03482069996</v>
      </c>
      <c r="F35" s="114">
        <f t="shared" si="1"/>
        <v>0.212660420439335</v>
      </c>
      <c r="G35" s="115"/>
    </row>
    <row r="36" s="95" customFormat="1" ht="15.75" customHeight="1" spans="1:7">
      <c r="A36" s="116" t="s">
        <v>189</v>
      </c>
      <c r="B36" s="117"/>
      <c r="C36" s="111"/>
      <c r="D36" s="111"/>
      <c r="E36" s="118">
        <f>F273</f>
        <v>17422.3055378416</v>
      </c>
      <c r="F36" s="119">
        <f>F13+F21+F22+F34+F35</f>
        <v>1</v>
      </c>
      <c r="G36" s="100"/>
    </row>
    <row r="37" spans="1:6">
      <c r="A37" s="7"/>
      <c r="B37" s="7"/>
      <c r="C37" s="7"/>
      <c r="D37" s="101"/>
      <c r="E37" s="101"/>
      <c r="F37" s="101"/>
    </row>
    <row r="38" spans="1:6">
      <c r="A38" s="7"/>
      <c r="B38" s="7"/>
      <c r="C38" s="7"/>
      <c r="D38" s="101"/>
      <c r="E38" s="101"/>
      <c r="F38" s="101"/>
    </row>
    <row r="39" s="95" customFormat="1" ht="15" customHeight="1" spans="1:7">
      <c r="A39" s="109" t="s">
        <v>17</v>
      </c>
      <c r="B39" s="109"/>
      <c r="C39" s="109"/>
      <c r="D39" s="109"/>
      <c r="E39" s="109"/>
      <c r="F39" s="101"/>
      <c r="G39" s="100"/>
    </row>
    <row r="40" s="95" customFormat="1" ht="15" customHeight="1" spans="1:7">
      <c r="A40" s="110" t="s">
        <v>18</v>
      </c>
      <c r="B40" s="110"/>
      <c r="C40" s="110"/>
      <c r="D40" s="110"/>
      <c r="E40" s="142" t="s">
        <v>19</v>
      </c>
      <c r="F40" s="101"/>
      <c r="G40" s="100"/>
    </row>
    <row r="41" s="95" customFormat="1" ht="15" customHeight="1" spans="1:7">
      <c r="A41" s="101" t="str">
        <f>+A54</f>
        <v>1.1. Separador Turno Dia</v>
      </c>
      <c r="B41" s="101"/>
      <c r="C41" s="101"/>
      <c r="D41" s="102"/>
      <c r="E41" s="143">
        <v>17</v>
      </c>
      <c r="F41" s="101"/>
      <c r="G41" s="100"/>
    </row>
    <row r="42" s="95" customFormat="1" ht="15" customHeight="1" spans="1:7">
      <c r="A42" s="101" t="str">
        <f>A67</f>
        <v>1.2. Operador de Retroescavadeira / Carregadeira</v>
      </c>
      <c r="B42" s="101"/>
      <c r="C42" s="101"/>
      <c r="D42" s="102"/>
      <c r="E42" s="143">
        <v>1</v>
      </c>
      <c r="F42" s="101"/>
      <c r="G42" s="100"/>
    </row>
    <row r="43" s="95" customFormat="1" ht="15" customHeight="1" spans="1:7">
      <c r="A43" s="111" t="s">
        <v>20</v>
      </c>
      <c r="B43" s="144"/>
      <c r="C43" s="144"/>
      <c r="D43" s="102"/>
      <c r="E43" s="145">
        <f>E41+E42</f>
        <v>18</v>
      </c>
      <c r="F43" s="101"/>
      <c r="G43" s="100"/>
    </row>
    <row r="44" s="95" customFormat="1" ht="15" customHeight="1" spans="1:7">
      <c r="A44" s="111"/>
      <c r="B44" s="144"/>
      <c r="C44" s="101"/>
      <c r="D44" s="101"/>
      <c r="E44" s="101"/>
      <c r="F44" s="101"/>
      <c r="G44" s="100"/>
    </row>
    <row r="45" s="95" customFormat="1" ht="15" customHeight="1" spans="1:7">
      <c r="A45" s="146" t="s">
        <v>21</v>
      </c>
      <c r="B45" s="146"/>
      <c r="C45" s="146"/>
      <c r="D45" s="146"/>
      <c r="E45" s="142" t="s">
        <v>19</v>
      </c>
      <c r="F45" s="7"/>
      <c r="G45" s="100"/>
    </row>
    <row r="46" s="95" customFormat="1" ht="15" customHeight="1" spans="1:7">
      <c r="A46" s="101" t="str">
        <f>+A153</f>
        <v>3.1. Veículo Carregadeira</v>
      </c>
      <c r="B46" s="101"/>
      <c r="C46" s="101"/>
      <c r="D46" s="7"/>
      <c r="E46" s="143">
        <f>C163</f>
        <v>1</v>
      </c>
      <c r="F46" s="7"/>
      <c r="G46" s="100"/>
    </row>
    <row r="47" s="95" customFormat="1" ht="15" customHeight="1" spans="1:7">
      <c r="A47" s="101"/>
      <c r="B47" s="101"/>
      <c r="C47" s="101"/>
      <c r="D47" s="7"/>
      <c r="E47" s="143"/>
      <c r="F47" s="7"/>
      <c r="G47" s="100"/>
    </row>
    <row r="48" s="95" customFormat="1" ht="15" customHeight="1" spans="1:7">
      <c r="A48" s="101"/>
      <c r="B48" s="101"/>
      <c r="C48" s="101"/>
      <c r="D48" s="7"/>
      <c r="E48" s="143"/>
      <c r="F48" s="7"/>
      <c r="G48" s="100"/>
    </row>
    <row r="49" s="95" customFormat="1" spans="1:7">
      <c r="A49" s="101"/>
      <c r="B49" s="101"/>
      <c r="C49" s="101"/>
      <c r="D49" s="7"/>
      <c r="E49" s="120"/>
      <c r="F49" s="7"/>
      <c r="G49" s="100"/>
    </row>
    <row r="50" s="97" customFormat="1" ht="15.75" customHeight="1" spans="1:7">
      <c r="A50" s="111" t="s">
        <v>22</v>
      </c>
      <c r="B50" s="147">
        <v>0.1</v>
      </c>
      <c r="C50" s="111"/>
      <c r="D50" s="4"/>
      <c r="E50" s="148"/>
      <c r="F50" s="4"/>
      <c r="G50" s="115"/>
    </row>
    <row r="51" s="95" customFormat="1" ht="15.75" customHeight="1" spans="1:7">
      <c r="A51" s="101"/>
      <c r="B51" s="101"/>
      <c r="C51" s="101"/>
      <c r="D51" s="7"/>
      <c r="E51" s="120"/>
      <c r="F51" s="7"/>
      <c r="G51" s="100"/>
    </row>
    <row r="52" ht="13.15" customHeight="1" spans="1:6">
      <c r="A52" s="4" t="s">
        <v>23</v>
      </c>
      <c r="B52" s="7"/>
      <c r="C52" s="7"/>
      <c r="D52" s="101"/>
      <c r="E52" s="101"/>
      <c r="F52" s="101"/>
    </row>
    <row r="53" ht="11.25" customHeight="1" spans="1:6">
      <c r="A53" s="7"/>
      <c r="B53" s="7"/>
      <c r="C53" s="7"/>
      <c r="D53" s="101"/>
      <c r="E53" s="101"/>
      <c r="F53" s="101"/>
    </row>
    <row r="54" ht="13.9" customHeight="1" spans="1:6">
      <c r="A54" s="7" t="s">
        <v>190</v>
      </c>
      <c r="B54" s="7"/>
      <c r="C54" s="7"/>
      <c r="D54" s="101"/>
      <c r="E54" s="101"/>
      <c r="F54" s="101"/>
    </row>
    <row r="55" ht="13.9" customHeight="1" spans="1:6">
      <c r="A55" s="121" t="s">
        <v>25</v>
      </c>
      <c r="B55" s="121" t="s">
        <v>26</v>
      </c>
      <c r="C55" s="121" t="s">
        <v>19</v>
      </c>
      <c r="D55" s="122" t="s">
        <v>27</v>
      </c>
      <c r="E55" s="122" t="s">
        <v>28</v>
      </c>
      <c r="F55" s="122" t="s">
        <v>29</v>
      </c>
    </row>
    <row r="56" ht="13.15" customHeight="1" spans="1:6">
      <c r="A56" s="7" t="s">
        <v>30</v>
      </c>
      <c r="B56" s="123" t="s">
        <v>31</v>
      </c>
      <c r="C56" s="123">
        <v>1</v>
      </c>
      <c r="D56" s="124">
        <v>1594.27</v>
      </c>
      <c r="E56" s="125">
        <f t="shared" ref="E56:E58" si="2">C56*D56</f>
        <v>1594.27</v>
      </c>
      <c r="F56" s="101"/>
    </row>
    <row r="57" spans="1:7">
      <c r="A57" s="7" t="s">
        <v>32</v>
      </c>
      <c r="B57" s="123" t="s">
        <v>33</v>
      </c>
      <c r="C57" s="150"/>
      <c r="D57" s="125">
        <f>D56/220*2</f>
        <v>14.4933636363636</v>
      </c>
      <c r="E57" s="125">
        <f t="shared" si="2"/>
        <v>0</v>
      </c>
      <c r="F57" s="101"/>
      <c r="G57" s="100" t="s">
        <v>34</v>
      </c>
    </row>
    <row r="58" ht="13.15" customHeight="1" spans="1:7">
      <c r="A58" s="7" t="s">
        <v>35</v>
      </c>
      <c r="B58" s="123" t="s">
        <v>33</v>
      </c>
      <c r="C58" s="150"/>
      <c r="D58" s="125">
        <f>D56/220*1.5</f>
        <v>10.8700227272727</v>
      </c>
      <c r="E58" s="125">
        <f t="shared" si="2"/>
        <v>0</v>
      </c>
      <c r="F58" s="101"/>
      <c r="G58" s="100" t="s">
        <v>36</v>
      </c>
    </row>
    <row r="59" ht="13.15" customHeight="1" spans="1:7">
      <c r="A59" s="7" t="s">
        <v>37</v>
      </c>
      <c r="B59" s="123" t="s">
        <v>38</v>
      </c>
      <c r="C59" s="7"/>
      <c r="D59" s="125">
        <f>63/302*(SUM(E57:E58))</f>
        <v>0</v>
      </c>
      <c r="E59" s="125">
        <f>D59</f>
        <v>0</v>
      </c>
      <c r="F59" s="101"/>
      <c r="G59" s="100" t="s">
        <v>39</v>
      </c>
    </row>
    <row r="60" spans="1:6">
      <c r="A60" s="7" t="s">
        <v>40</v>
      </c>
      <c r="B60" s="123" t="s">
        <v>5</v>
      </c>
      <c r="C60" s="123">
        <v>40</v>
      </c>
      <c r="D60" s="153">
        <f>SUM(E56:E59)</f>
        <v>1594.27</v>
      </c>
      <c r="E60" s="125">
        <f>C60*D60/100</f>
        <v>637.708</v>
      </c>
      <c r="F60" s="101"/>
    </row>
    <row r="61" spans="1:6">
      <c r="A61" s="4" t="s">
        <v>41</v>
      </c>
      <c r="B61" s="146"/>
      <c r="C61" s="146"/>
      <c r="D61" s="110"/>
      <c r="E61" s="110">
        <f>SUM(E56:E60)</f>
        <v>2231.978</v>
      </c>
      <c r="F61" s="101"/>
    </row>
    <row r="62" spans="1:6">
      <c r="A62" s="7" t="s">
        <v>42</v>
      </c>
      <c r="B62" s="123" t="s">
        <v>5</v>
      </c>
      <c r="C62" s="128">
        <v>70.6</v>
      </c>
      <c r="D62" s="125">
        <f>E61</f>
        <v>2231.978</v>
      </c>
      <c r="E62" s="125">
        <f>D62*C62/100</f>
        <v>1575.776468</v>
      </c>
      <c r="F62" s="101"/>
    </row>
    <row r="63" spans="1:6">
      <c r="A63" s="4" t="s">
        <v>43</v>
      </c>
      <c r="B63" s="146"/>
      <c r="C63" s="146"/>
      <c r="D63" s="110"/>
      <c r="E63" s="110">
        <f>E61+E62</f>
        <v>3807.754468</v>
      </c>
      <c r="F63" s="101"/>
    </row>
    <row r="64" spans="1:6">
      <c r="A64" s="7" t="s">
        <v>44</v>
      </c>
      <c r="B64" s="123" t="s">
        <v>45</v>
      </c>
      <c r="C64" s="152">
        <v>17</v>
      </c>
      <c r="D64" s="125">
        <f>E63</f>
        <v>3807.754468</v>
      </c>
      <c r="E64" s="125">
        <f>C64*D64</f>
        <v>64731.825956</v>
      </c>
      <c r="F64" s="101"/>
    </row>
    <row r="65" ht="13.9" customHeight="1" spans="1:6">
      <c r="A65" s="7"/>
      <c r="B65" s="7"/>
      <c r="C65" s="7"/>
      <c r="D65" s="154" t="s">
        <v>46</v>
      </c>
      <c r="E65" s="101">
        <v>0.1</v>
      </c>
      <c r="F65" s="129">
        <f>E64*E65</f>
        <v>6473.1825956</v>
      </c>
    </row>
    <row r="66" ht="11.25" customHeight="1" spans="1:6">
      <c r="A66" s="7"/>
      <c r="B66" s="7"/>
      <c r="C66" s="7"/>
      <c r="D66" s="101"/>
      <c r="E66" s="101"/>
      <c r="F66" s="101"/>
    </row>
    <row r="67" spans="1:6">
      <c r="A67" s="7" t="s">
        <v>191</v>
      </c>
      <c r="B67" s="7"/>
      <c r="C67" s="7"/>
      <c r="D67" s="101"/>
      <c r="E67" s="101"/>
      <c r="F67" s="101"/>
    </row>
    <row r="68" s="98" customFormat="1" ht="13.15" customHeight="1" spans="1:7">
      <c r="A68" s="121" t="s">
        <v>25</v>
      </c>
      <c r="B68" s="121" t="s">
        <v>26</v>
      </c>
      <c r="C68" s="121" t="s">
        <v>19</v>
      </c>
      <c r="D68" s="122" t="s">
        <v>27</v>
      </c>
      <c r="E68" s="122" t="s">
        <v>28</v>
      </c>
      <c r="F68" s="122" t="s">
        <v>29</v>
      </c>
      <c r="G68" s="100"/>
    </row>
    <row r="69" spans="1:6">
      <c r="A69" s="7" t="s">
        <v>30</v>
      </c>
      <c r="B69" s="123" t="s">
        <v>31</v>
      </c>
      <c r="C69" s="123">
        <v>1</v>
      </c>
      <c r="D69" s="149">
        <v>2030.35</v>
      </c>
      <c r="E69" s="125">
        <f t="shared" ref="E69:E72" si="3">C69*D69</f>
        <v>2030.35</v>
      </c>
      <c r="F69" s="101"/>
    </row>
    <row r="70" spans="1:6">
      <c r="A70" s="7" t="s">
        <v>61</v>
      </c>
      <c r="B70" s="123" t="s">
        <v>31</v>
      </c>
      <c r="C70" s="123">
        <v>1</v>
      </c>
      <c r="D70" s="149">
        <v>1302</v>
      </c>
      <c r="E70" s="125"/>
      <c r="F70" s="101"/>
    </row>
    <row r="71" spans="1:7">
      <c r="A71" s="7" t="s">
        <v>32</v>
      </c>
      <c r="B71" s="123" t="s">
        <v>33</v>
      </c>
      <c r="C71" s="150"/>
      <c r="D71" s="125">
        <f>D69/220*2</f>
        <v>18.4577272727273</v>
      </c>
      <c r="E71" s="125">
        <f t="shared" si="3"/>
        <v>0</v>
      </c>
      <c r="F71" s="101"/>
      <c r="G71" s="100" t="s">
        <v>34</v>
      </c>
    </row>
    <row r="72" spans="1:7">
      <c r="A72" s="7" t="s">
        <v>35</v>
      </c>
      <c r="B72" s="123" t="s">
        <v>33</v>
      </c>
      <c r="C72" s="150"/>
      <c r="D72" s="125">
        <f>D69/220*1.5</f>
        <v>13.8432954545455</v>
      </c>
      <c r="E72" s="125">
        <f t="shared" si="3"/>
        <v>0</v>
      </c>
      <c r="F72" s="101"/>
      <c r="G72" s="100" t="s">
        <v>36</v>
      </c>
    </row>
    <row r="73" ht="13.15" customHeight="1" spans="1:7">
      <c r="A73" s="7" t="s">
        <v>37</v>
      </c>
      <c r="B73" s="123" t="s">
        <v>38</v>
      </c>
      <c r="C73" s="7"/>
      <c r="D73" s="125">
        <f>63/302*(SUM(E71:E72))</f>
        <v>0</v>
      </c>
      <c r="E73" s="125">
        <f>D73</f>
        <v>0</v>
      </c>
      <c r="F73" s="101"/>
      <c r="G73" s="100" t="s">
        <v>39</v>
      </c>
    </row>
    <row r="74" spans="1:6">
      <c r="A74" s="7" t="s">
        <v>58</v>
      </c>
      <c r="B74" s="123"/>
      <c r="C74" s="151">
        <v>2</v>
      </c>
      <c r="D74" s="125"/>
      <c r="E74" s="125"/>
      <c r="F74" s="101"/>
    </row>
    <row r="75" spans="1:6">
      <c r="A75" s="7" t="s">
        <v>40</v>
      </c>
      <c r="B75" s="123" t="s">
        <v>5</v>
      </c>
      <c r="C75" s="152">
        <v>40</v>
      </c>
      <c r="D75" s="153">
        <f>IF(C74=2,SUM(E69:E73),IF(C74=1,(SUM(E69:E73))*D70/D69,0))</f>
        <v>2030.35</v>
      </c>
      <c r="E75" s="125">
        <f>C75*D75/100</f>
        <v>812.14</v>
      </c>
      <c r="F75" s="101"/>
    </row>
    <row r="76" s="97" customFormat="1" spans="1:7">
      <c r="A76" s="4" t="s">
        <v>41</v>
      </c>
      <c r="B76" s="146"/>
      <c r="C76" s="146"/>
      <c r="D76" s="110"/>
      <c r="E76" s="110">
        <f>SUM(E69:E75)</f>
        <v>2842.49</v>
      </c>
      <c r="F76" s="111"/>
      <c r="G76" s="115"/>
    </row>
    <row r="77" spans="1:6">
      <c r="A77" s="7" t="s">
        <v>42</v>
      </c>
      <c r="B77" s="123" t="s">
        <v>5</v>
      </c>
      <c r="C77" s="128">
        <v>70.6</v>
      </c>
      <c r="D77" s="125">
        <f>E76</f>
        <v>2842.49</v>
      </c>
      <c r="E77" s="125">
        <f>D77*C77/100</f>
        <v>2006.79794</v>
      </c>
      <c r="F77" s="101"/>
    </row>
    <row r="78" s="97" customFormat="1" spans="1:7">
      <c r="A78" s="4" t="s">
        <v>59</v>
      </c>
      <c r="B78" s="146"/>
      <c r="C78" s="146"/>
      <c r="D78" s="110"/>
      <c r="E78" s="110">
        <f>E76+E77</f>
        <v>4849.28794</v>
      </c>
      <c r="F78" s="111"/>
      <c r="G78" s="115"/>
    </row>
    <row r="79" spans="1:6">
      <c r="A79" s="7" t="s">
        <v>44</v>
      </c>
      <c r="B79" s="123" t="s">
        <v>45</v>
      </c>
      <c r="C79" s="152">
        <v>1</v>
      </c>
      <c r="D79" s="125">
        <f>E78</f>
        <v>4849.28794</v>
      </c>
      <c r="E79" s="125">
        <f>C79*D79</f>
        <v>4849.28794</v>
      </c>
      <c r="F79" s="101"/>
    </row>
    <row r="80" spans="1:6">
      <c r="A80" s="7"/>
      <c r="B80" s="7"/>
      <c r="C80" s="7"/>
      <c r="D80" s="154" t="s">
        <v>46</v>
      </c>
      <c r="E80" s="101">
        <v>0.1</v>
      </c>
      <c r="F80" s="129">
        <f>E79*E80</f>
        <v>484.928794</v>
      </c>
    </row>
    <row r="81" ht="11.25" customHeight="1" spans="1:6">
      <c r="A81" s="7"/>
      <c r="B81" s="7"/>
      <c r="C81" s="7"/>
      <c r="D81" s="101"/>
      <c r="E81" s="101"/>
      <c r="F81" s="101"/>
    </row>
    <row r="82" ht="11.25" customHeight="1" spans="1:7">
      <c r="A82" s="7"/>
      <c r="B82" s="7"/>
      <c r="C82" s="7"/>
      <c r="D82" s="101"/>
      <c r="E82" s="101"/>
      <c r="F82" s="101"/>
      <c r="G82" s="99"/>
    </row>
    <row r="83" spans="1:7">
      <c r="A83" s="155" t="s">
        <v>192</v>
      </c>
      <c r="B83" s="156"/>
      <c r="C83" s="7"/>
      <c r="D83" s="7"/>
      <c r="E83" s="7"/>
      <c r="F83" s="101"/>
      <c r="G83" s="99"/>
    </row>
    <row r="84" spans="1:7">
      <c r="A84" s="121" t="s">
        <v>25</v>
      </c>
      <c r="B84" s="121" t="s">
        <v>26</v>
      </c>
      <c r="C84" s="121" t="s">
        <v>19</v>
      </c>
      <c r="D84" s="122" t="s">
        <v>27</v>
      </c>
      <c r="E84" s="122" t="s">
        <v>28</v>
      </c>
      <c r="F84" s="122" t="s">
        <v>29</v>
      </c>
      <c r="G84" s="99"/>
    </row>
    <row r="85" spans="1:7">
      <c r="A85" s="7" t="s">
        <v>63</v>
      </c>
      <c r="B85" s="123" t="s">
        <v>38</v>
      </c>
      <c r="C85" s="120">
        <v>1</v>
      </c>
      <c r="D85" s="157">
        <v>6</v>
      </c>
      <c r="E85" s="125"/>
      <c r="F85" s="101"/>
      <c r="G85" s="99"/>
    </row>
    <row r="86" spans="1:7">
      <c r="A86" s="7" t="s">
        <v>64</v>
      </c>
      <c r="B86" s="123" t="s">
        <v>65</v>
      </c>
      <c r="C86" s="158">
        <v>21</v>
      </c>
      <c r="D86" s="125"/>
      <c r="E86" s="125"/>
      <c r="F86" s="101"/>
      <c r="G86" s="99"/>
    </row>
    <row r="87" spans="1:7">
      <c r="A87" s="7" t="s">
        <v>190</v>
      </c>
      <c r="B87" s="123" t="s">
        <v>67</v>
      </c>
      <c r="C87" s="159">
        <f>E41*C64*2</f>
        <v>578</v>
      </c>
      <c r="D87" s="149">
        <f>D85-6%</f>
        <v>5.94</v>
      </c>
      <c r="E87" s="125">
        <f>IFERROR(C87*D87,"-")</f>
        <v>3433.32</v>
      </c>
      <c r="F87" s="101"/>
      <c r="G87" s="99"/>
    </row>
    <row r="88" spans="1:7">
      <c r="A88" s="7" t="s">
        <v>191</v>
      </c>
      <c r="B88" s="123" t="s">
        <v>67</v>
      </c>
      <c r="C88" s="159">
        <f>C86*E42*2</f>
        <v>42</v>
      </c>
      <c r="D88" s="149">
        <f>D85-6%</f>
        <v>5.94</v>
      </c>
      <c r="E88" s="125">
        <f>IFERROR(C88*D88,"-")</f>
        <v>249.48</v>
      </c>
      <c r="F88" s="101"/>
      <c r="G88" s="99"/>
    </row>
    <row r="89" spans="1:7">
      <c r="A89" s="7"/>
      <c r="B89" s="7"/>
      <c r="C89" s="7"/>
      <c r="D89" s="154" t="s">
        <v>46</v>
      </c>
      <c r="E89" s="101">
        <v>0.1</v>
      </c>
      <c r="F89" s="127">
        <f>SUM(E87:E88)*E89</f>
        <v>368.28</v>
      </c>
      <c r="G89" s="99"/>
    </row>
    <row r="90" ht="11.25" customHeight="1" spans="1:7">
      <c r="A90" s="7"/>
      <c r="B90" s="7"/>
      <c r="C90" s="7"/>
      <c r="D90" s="101"/>
      <c r="E90" s="101"/>
      <c r="F90" s="101"/>
      <c r="G90" s="99"/>
    </row>
    <row r="91" spans="1:7">
      <c r="A91" s="7" t="s">
        <v>193</v>
      </c>
      <c r="B91" s="7"/>
      <c r="C91" s="7"/>
      <c r="D91" s="101"/>
      <c r="E91" s="101"/>
      <c r="F91" s="160"/>
      <c r="G91" s="99"/>
    </row>
    <row r="92" spans="1:7">
      <c r="A92" s="121" t="s">
        <v>25</v>
      </c>
      <c r="B92" s="121" t="s">
        <v>26</v>
      </c>
      <c r="C92" s="121" t="s">
        <v>19</v>
      </c>
      <c r="D92" s="122" t="s">
        <v>27</v>
      </c>
      <c r="E92" s="122" t="s">
        <v>28</v>
      </c>
      <c r="F92" s="122" t="s">
        <v>29</v>
      </c>
      <c r="G92" s="99"/>
    </row>
    <row r="93" spans="1:7">
      <c r="A93" s="7" t="str">
        <f>+A87</f>
        <v>1.1. Separador Turno Dia</v>
      </c>
      <c r="B93" s="123" t="s">
        <v>70</v>
      </c>
      <c r="C93" s="161">
        <f>C86*E41</f>
        <v>357</v>
      </c>
      <c r="D93" s="162">
        <v>22</v>
      </c>
      <c r="E93" s="101">
        <f>C93*D93</f>
        <v>7854</v>
      </c>
      <c r="F93" s="160"/>
      <c r="G93" s="99"/>
    </row>
    <row r="94" spans="1:7">
      <c r="A94" s="7" t="str">
        <f>+A88</f>
        <v>1.2. Operador de Retroescavadeira / Carregadeira</v>
      </c>
      <c r="B94" s="123" t="s">
        <v>70</v>
      </c>
      <c r="C94" s="161">
        <f>C86*E42</f>
        <v>21</v>
      </c>
      <c r="D94" s="163">
        <v>14.73</v>
      </c>
      <c r="E94" s="101">
        <f>C94*D94</f>
        <v>309.33</v>
      </c>
      <c r="F94" s="160"/>
      <c r="G94" s="99"/>
    </row>
    <row r="95" spans="1:7">
      <c r="A95" s="7"/>
      <c r="B95" s="7"/>
      <c r="C95" s="7"/>
      <c r="D95" s="154" t="s">
        <v>46</v>
      </c>
      <c r="E95" s="101">
        <v>0.1</v>
      </c>
      <c r="F95" s="127">
        <f>SUM(E93:E94)*E95</f>
        <v>816.333</v>
      </c>
      <c r="G95" s="99"/>
    </row>
    <row r="96" spans="1:7">
      <c r="A96" s="7"/>
      <c r="B96" s="7"/>
      <c r="C96" s="7"/>
      <c r="D96" s="101"/>
      <c r="E96" s="101"/>
      <c r="F96" s="101"/>
      <c r="G96" s="99"/>
    </row>
    <row r="97" spans="1:7">
      <c r="A97" s="7" t="s">
        <v>194</v>
      </c>
      <c r="B97" s="7"/>
      <c r="C97" s="7"/>
      <c r="D97" s="101"/>
      <c r="E97" s="101"/>
      <c r="F97" s="160"/>
      <c r="G97" s="99"/>
    </row>
    <row r="98" spans="1:7">
      <c r="A98" s="121" t="s">
        <v>25</v>
      </c>
      <c r="B98" s="121" t="s">
        <v>26</v>
      </c>
      <c r="C98" s="121" t="s">
        <v>19</v>
      </c>
      <c r="D98" s="122" t="s">
        <v>27</v>
      </c>
      <c r="E98" s="122" t="s">
        <v>28</v>
      </c>
      <c r="F98" s="122" t="s">
        <v>29</v>
      </c>
      <c r="G98" s="99"/>
    </row>
    <row r="99" spans="1:7">
      <c r="A99" s="7" t="str">
        <f>+A93</f>
        <v>1.1. Separador Turno Dia</v>
      </c>
      <c r="B99" s="123" t="s">
        <v>70</v>
      </c>
      <c r="C99" s="161">
        <f>E41</f>
        <v>17</v>
      </c>
      <c r="D99" s="163"/>
      <c r="E99" s="101">
        <f>C99*D99</f>
        <v>0</v>
      </c>
      <c r="F99" s="160"/>
      <c r="G99" s="99"/>
    </row>
    <row r="100" spans="1:7">
      <c r="A100" s="7" t="str">
        <f>+A94</f>
        <v>1.2. Operador de Retroescavadeira / Carregadeira</v>
      </c>
      <c r="B100" s="123" t="s">
        <v>70</v>
      </c>
      <c r="C100" s="161">
        <f>E42</f>
        <v>1</v>
      </c>
      <c r="D100" s="163">
        <v>111.82</v>
      </c>
      <c r="E100" s="101">
        <f>C100*D100</f>
        <v>111.82</v>
      </c>
      <c r="F100" s="160"/>
      <c r="G100" s="99"/>
    </row>
    <row r="101" spans="1:7">
      <c r="A101" s="7"/>
      <c r="B101" s="7"/>
      <c r="C101" s="7"/>
      <c r="D101" s="154" t="s">
        <v>46</v>
      </c>
      <c r="E101" s="101">
        <v>0.1</v>
      </c>
      <c r="F101" s="127">
        <f>(E99+E100)*E101</f>
        <v>11.182</v>
      </c>
      <c r="G101" s="99"/>
    </row>
    <row r="102" spans="1:7">
      <c r="A102" s="7"/>
      <c r="B102" s="7"/>
      <c r="C102" s="7"/>
      <c r="D102" s="154"/>
      <c r="E102" s="101"/>
      <c r="F102" s="160"/>
      <c r="G102" s="99"/>
    </row>
    <row r="103" spans="1:7">
      <c r="A103" s="7" t="s">
        <v>195</v>
      </c>
      <c r="B103" s="7"/>
      <c r="C103" s="7"/>
      <c r="D103" s="101"/>
      <c r="E103" s="101"/>
      <c r="F103" s="160"/>
      <c r="G103" s="99"/>
    </row>
    <row r="104" spans="1:7">
      <c r="A104" s="121" t="s">
        <v>25</v>
      </c>
      <c r="B104" s="121" t="s">
        <v>26</v>
      </c>
      <c r="C104" s="121" t="s">
        <v>19</v>
      </c>
      <c r="D104" s="122" t="s">
        <v>27</v>
      </c>
      <c r="E104" s="122" t="s">
        <v>28</v>
      </c>
      <c r="F104" s="122" t="s">
        <v>29</v>
      </c>
      <c r="G104" s="99"/>
    </row>
    <row r="105" spans="1:7">
      <c r="A105" s="7" t="str">
        <f>+A99</f>
        <v>1.1. Separador Turno Dia</v>
      </c>
      <c r="B105" s="123" t="s">
        <v>70</v>
      </c>
      <c r="C105" s="161">
        <f>C86*E41</f>
        <v>357</v>
      </c>
      <c r="D105" s="162">
        <v>11</v>
      </c>
      <c r="E105" s="101">
        <f>C105*D105</f>
        <v>3927</v>
      </c>
      <c r="F105" s="160"/>
      <c r="G105" s="99"/>
    </row>
    <row r="106" spans="1:7">
      <c r="A106" s="7" t="str">
        <f>+A100</f>
        <v>1.2. Operador de Retroescavadeira / Carregadeira</v>
      </c>
      <c r="B106" s="123" t="s">
        <v>70</v>
      </c>
      <c r="C106" s="161">
        <v>0</v>
      </c>
      <c r="D106" s="163">
        <v>0</v>
      </c>
      <c r="E106" s="101">
        <f>C106*D106</f>
        <v>0</v>
      </c>
      <c r="F106" s="160"/>
      <c r="G106" s="99"/>
    </row>
    <row r="107" spans="1:7">
      <c r="A107" s="7"/>
      <c r="B107" s="7"/>
      <c r="C107" s="7"/>
      <c r="D107" s="154" t="s">
        <v>46</v>
      </c>
      <c r="E107" s="101">
        <v>0.1</v>
      </c>
      <c r="F107" s="127">
        <f>SUM(E105:E106)*E107</f>
        <v>392.7</v>
      </c>
      <c r="G107" s="99"/>
    </row>
    <row r="108" spans="1:7">
      <c r="A108" s="7"/>
      <c r="B108" s="7"/>
      <c r="C108" s="7"/>
      <c r="D108" s="154"/>
      <c r="E108" s="101"/>
      <c r="F108" s="160"/>
      <c r="G108" s="99"/>
    </row>
    <row r="109" spans="1:7">
      <c r="A109" s="7" t="s">
        <v>74</v>
      </c>
      <c r="B109" s="7"/>
      <c r="C109" s="7"/>
      <c r="D109" s="101"/>
      <c r="E109" s="101"/>
      <c r="F109" s="160"/>
      <c r="G109" s="99"/>
    </row>
    <row r="110" spans="1:7">
      <c r="A110" s="121" t="s">
        <v>25</v>
      </c>
      <c r="B110" s="121" t="s">
        <v>26</v>
      </c>
      <c r="C110" s="121" t="s">
        <v>19</v>
      </c>
      <c r="D110" s="122" t="s">
        <v>27</v>
      </c>
      <c r="E110" s="122" t="s">
        <v>28</v>
      </c>
      <c r="F110" s="122" t="s">
        <v>29</v>
      </c>
      <c r="G110" s="99"/>
    </row>
    <row r="111" spans="1:7">
      <c r="A111" s="164" t="s">
        <v>75</v>
      </c>
      <c r="B111" s="123" t="s">
        <v>70</v>
      </c>
      <c r="C111" s="161">
        <f>E41</f>
        <v>17</v>
      </c>
      <c r="D111" s="163">
        <v>37.39</v>
      </c>
      <c r="E111" s="101">
        <f>C111*D111</f>
        <v>635.63</v>
      </c>
      <c r="F111" s="160"/>
      <c r="G111" s="99"/>
    </row>
    <row r="112" spans="1:7">
      <c r="A112" s="164" t="s">
        <v>76</v>
      </c>
      <c r="B112" s="123" t="s">
        <v>70</v>
      </c>
      <c r="C112" s="161">
        <v>1</v>
      </c>
      <c r="D112" s="163">
        <v>228</v>
      </c>
      <c r="E112" s="101">
        <f>C112*D112</f>
        <v>228</v>
      </c>
      <c r="F112" s="160"/>
      <c r="G112" s="99"/>
    </row>
    <row r="113" spans="1:7">
      <c r="A113" s="7"/>
      <c r="B113" s="7"/>
      <c r="C113" s="7"/>
      <c r="D113" s="154" t="s">
        <v>46</v>
      </c>
      <c r="E113" s="101">
        <v>0.1</v>
      </c>
      <c r="F113" s="127">
        <f>SUM(E111:E112)*E113</f>
        <v>86.363</v>
      </c>
      <c r="G113" s="99"/>
    </row>
    <row r="114" spans="1:7">
      <c r="A114" s="7"/>
      <c r="B114" s="7"/>
      <c r="C114" s="7"/>
      <c r="D114" s="101"/>
      <c r="E114" s="101"/>
      <c r="F114" s="101"/>
      <c r="G114" s="99"/>
    </row>
    <row r="115" spans="1:7">
      <c r="A115" s="4" t="s">
        <v>77</v>
      </c>
      <c r="B115" s="4"/>
      <c r="C115" s="4"/>
      <c r="D115" s="111"/>
      <c r="E115" s="111"/>
      <c r="F115" s="126">
        <f>F65+F80+F89+F95+F101+F107+F113</f>
        <v>8632.9693896</v>
      </c>
      <c r="G115" s="99"/>
    </row>
    <row r="116" spans="1:6">
      <c r="A116" s="7"/>
      <c r="B116" s="7"/>
      <c r="C116" s="7"/>
      <c r="D116" s="101"/>
      <c r="E116" s="101"/>
      <c r="F116" s="101"/>
    </row>
    <row r="117" spans="1:7">
      <c r="A117" s="4" t="s">
        <v>78</v>
      </c>
      <c r="B117" s="7"/>
      <c r="C117" s="7"/>
      <c r="D117" s="101"/>
      <c r="E117" s="101"/>
      <c r="F117" s="101"/>
      <c r="G117" s="99"/>
    </row>
    <row r="118" ht="11.25" customHeight="1" spans="1:7">
      <c r="A118" s="7"/>
      <c r="B118" s="7"/>
      <c r="C118" s="7"/>
      <c r="D118" s="101"/>
      <c r="E118" s="101"/>
      <c r="F118" s="101"/>
      <c r="G118" s="99"/>
    </row>
    <row r="119" ht="13.9" customHeight="1" spans="1:7">
      <c r="A119" s="7" t="s">
        <v>79</v>
      </c>
      <c r="B119" s="7"/>
      <c r="C119" s="7"/>
      <c r="D119" s="101"/>
      <c r="E119" s="101"/>
      <c r="F119" s="101"/>
      <c r="G119" s="99"/>
    </row>
    <row r="120" ht="11.25" customHeight="1" spans="1:7">
      <c r="A120" s="7"/>
      <c r="B120" s="7"/>
      <c r="C120" s="7"/>
      <c r="D120" s="101"/>
      <c r="E120" s="101"/>
      <c r="F120" s="101"/>
      <c r="G120" s="99"/>
    </row>
    <row r="121" ht="27.75" customHeight="1" spans="1:7">
      <c r="A121" s="121" t="s">
        <v>25</v>
      </c>
      <c r="B121" s="121" t="s">
        <v>26</v>
      </c>
      <c r="C121" s="165" t="s">
        <v>80</v>
      </c>
      <c r="D121" s="122" t="s">
        <v>27</v>
      </c>
      <c r="E121" s="122" t="s">
        <v>28</v>
      </c>
      <c r="F121" s="122" t="s">
        <v>29</v>
      </c>
      <c r="G121" s="99"/>
    </row>
    <row r="122" spans="1:7">
      <c r="A122" s="7" t="s">
        <v>81</v>
      </c>
      <c r="B122" s="123" t="s">
        <v>70</v>
      </c>
      <c r="C122" s="166">
        <v>12</v>
      </c>
      <c r="D122" s="149">
        <v>155</v>
      </c>
      <c r="E122" s="125">
        <f>IFERROR(D122/C122,0)</f>
        <v>12.9166666666667</v>
      </c>
      <c r="F122" s="101"/>
      <c r="G122" s="99"/>
    </row>
    <row r="123" ht="13.15" customHeight="1" spans="1:7">
      <c r="A123" s="7" t="s">
        <v>82</v>
      </c>
      <c r="B123" s="123" t="s">
        <v>70</v>
      </c>
      <c r="C123" s="166">
        <v>4</v>
      </c>
      <c r="D123" s="149">
        <v>36.9</v>
      </c>
      <c r="E123" s="125">
        <f t="shared" ref="E122:E131" si="4">IFERROR(D123/C123,0)</f>
        <v>9.225</v>
      </c>
      <c r="F123" s="101"/>
      <c r="G123" s="99"/>
    </row>
    <row r="124" spans="1:7">
      <c r="A124" s="7" t="s">
        <v>83</v>
      </c>
      <c r="B124" s="123" t="s">
        <v>70</v>
      </c>
      <c r="C124" s="166">
        <v>3</v>
      </c>
      <c r="D124" s="149">
        <v>25.9</v>
      </c>
      <c r="E124" s="125">
        <f t="shared" si="4"/>
        <v>8.63333333333333</v>
      </c>
      <c r="F124" s="101"/>
      <c r="G124" s="99"/>
    </row>
    <row r="125" ht="13.15" customHeight="1" spans="1:7">
      <c r="A125" s="7" t="s">
        <v>84</v>
      </c>
      <c r="B125" s="123" t="s">
        <v>70</v>
      </c>
      <c r="C125" s="166">
        <v>6</v>
      </c>
      <c r="D125" s="149">
        <v>30</v>
      </c>
      <c r="E125" s="125">
        <f t="shared" si="4"/>
        <v>5</v>
      </c>
      <c r="F125" s="101"/>
      <c r="G125" s="99"/>
    </row>
    <row r="126" ht="13.9" customHeight="1" spans="1:7">
      <c r="A126" s="7" t="s">
        <v>85</v>
      </c>
      <c r="B126" s="123" t="s">
        <v>86</v>
      </c>
      <c r="C126" s="166">
        <v>6</v>
      </c>
      <c r="D126" s="149">
        <v>52.9</v>
      </c>
      <c r="E126" s="125">
        <f t="shared" si="4"/>
        <v>8.81666666666667</v>
      </c>
      <c r="F126" s="101"/>
      <c r="G126" s="99"/>
    </row>
    <row r="127" ht="13.15" customHeight="1" spans="1:6">
      <c r="A127" s="7" t="s">
        <v>87</v>
      </c>
      <c r="B127" s="123" t="s">
        <v>86</v>
      </c>
      <c r="C127" s="166">
        <v>4</v>
      </c>
      <c r="D127" s="149">
        <v>10</v>
      </c>
      <c r="E127" s="125">
        <f t="shared" si="4"/>
        <v>2.5</v>
      </c>
      <c r="F127" s="101"/>
    </row>
    <row r="128" spans="1:6">
      <c r="A128" s="7" t="s">
        <v>88</v>
      </c>
      <c r="B128" s="123" t="s">
        <v>70</v>
      </c>
      <c r="C128" s="166">
        <v>6</v>
      </c>
      <c r="D128" s="149">
        <v>67.98</v>
      </c>
      <c r="E128" s="125">
        <f t="shared" si="4"/>
        <v>11.33</v>
      </c>
      <c r="F128" s="101"/>
    </row>
    <row r="129" s="3" customFormat="1" spans="1:7">
      <c r="A129" s="5" t="s">
        <v>89</v>
      </c>
      <c r="B129" s="194" t="s">
        <v>70</v>
      </c>
      <c r="C129" s="166">
        <v>6</v>
      </c>
      <c r="D129" s="149">
        <v>24.57</v>
      </c>
      <c r="E129" s="125">
        <f t="shared" si="4"/>
        <v>4.095</v>
      </c>
      <c r="F129" s="195"/>
      <c r="G129" s="196"/>
    </row>
    <row r="130" spans="1:6">
      <c r="A130" s="7" t="s">
        <v>90</v>
      </c>
      <c r="B130" s="123" t="s">
        <v>86</v>
      </c>
      <c r="C130" s="166">
        <v>1</v>
      </c>
      <c r="D130" s="149">
        <v>7.99</v>
      </c>
      <c r="E130" s="125">
        <f t="shared" si="4"/>
        <v>7.99</v>
      </c>
      <c r="F130" s="101"/>
    </row>
    <row r="131" ht="13.15" customHeight="1" spans="1:6">
      <c r="A131" s="7" t="s">
        <v>91</v>
      </c>
      <c r="B131" s="123" t="s">
        <v>92</v>
      </c>
      <c r="C131" s="166">
        <v>4</v>
      </c>
      <c r="D131" s="149">
        <v>22.9</v>
      </c>
      <c r="E131" s="125">
        <f t="shared" si="4"/>
        <v>5.725</v>
      </c>
      <c r="F131" s="101"/>
    </row>
    <row r="132" spans="1:6">
      <c r="A132" s="7" t="s">
        <v>93</v>
      </c>
      <c r="B132" s="123" t="s">
        <v>94</v>
      </c>
      <c r="C132" s="167">
        <v>1</v>
      </c>
      <c r="D132" s="149">
        <v>100</v>
      </c>
      <c r="E132" s="125">
        <f>C132*D132</f>
        <v>100</v>
      </c>
      <c r="F132" s="101"/>
    </row>
    <row r="133" spans="1:6">
      <c r="A133" s="7" t="s">
        <v>44</v>
      </c>
      <c r="B133" s="123" t="s">
        <v>45</v>
      </c>
      <c r="C133" s="168">
        <v>17</v>
      </c>
      <c r="D133" s="125">
        <f>+SUM(E122:E132)</f>
        <v>176.231666666667</v>
      </c>
      <c r="E133" s="125">
        <f>C133*D133</f>
        <v>2995.93833333333</v>
      </c>
      <c r="F133" s="101"/>
    </row>
    <row r="134" spans="1:6">
      <c r="A134" s="7"/>
      <c r="B134" s="7"/>
      <c r="C134" s="7"/>
      <c r="D134" s="154" t="s">
        <v>46</v>
      </c>
      <c r="E134" s="101">
        <f>$B$50</f>
        <v>0.1</v>
      </c>
      <c r="F134" s="129">
        <f>E133*E134</f>
        <v>299.593833333333</v>
      </c>
    </row>
    <row r="135" ht="11.25" customHeight="1" spans="1:6">
      <c r="A135" s="7"/>
      <c r="B135" s="7"/>
      <c r="C135" s="7"/>
      <c r="D135" s="101"/>
      <c r="E135" s="101"/>
      <c r="F135" s="101"/>
    </row>
    <row r="136" ht="13.9" customHeight="1" spans="1:6">
      <c r="A136" s="7" t="s">
        <v>95</v>
      </c>
      <c r="B136" s="7"/>
      <c r="C136" s="7"/>
      <c r="D136" s="101"/>
      <c r="E136" s="101"/>
      <c r="F136" s="101"/>
    </row>
    <row r="137" ht="11.25" customHeight="1" spans="1:6">
      <c r="A137" s="7"/>
      <c r="B137" s="7"/>
      <c r="C137" s="7"/>
      <c r="D137" s="101"/>
      <c r="E137" s="101"/>
      <c r="F137" s="101"/>
    </row>
    <row r="138" ht="24" spans="1:6">
      <c r="A138" s="121" t="s">
        <v>25</v>
      </c>
      <c r="B138" s="121" t="s">
        <v>26</v>
      </c>
      <c r="C138" s="165" t="s">
        <v>80</v>
      </c>
      <c r="D138" s="122" t="s">
        <v>27</v>
      </c>
      <c r="E138" s="122" t="s">
        <v>28</v>
      </c>
      <c r="F138" s="122" t="s">
        <v>29</v>
      </c>
    </row>
    <row r="139" spans="1:6">
      <c r="A139" s="7" t="s">
        <v>81</v>
      </c>
      <c r="B139" s="123" t="s">
        <v>70</v>
      </c>
      <c r="C139" s="166">
        <v>12</v>
      </c>
      <c r="D139" s="125">
        <f t="shared" ref="D139:D141" si="5">+D122</f>
        <v>155</v>
      </c>
      <c r="E139" s="125">
        <f t="shared" ref="E139:E144" si="6">IFERROR(D139/C139,0)</f>
        <v>12.9166666666667</v>
      </c>
      <c r="F139" s="101"/>
    </row>
    <row r="140" spans="1:6">
      <c r="A140" s="7" t="s">
        <v>82</v>
      </c>
      <c r="B140" s="123" t="s">
        <v>70</v>
      </c>
      <c r="C140" s="166">
        <v>12</v>
      </c>
      <c r="D140" s="125">
        <f t="shared" si="5"/>
        <v>36.9</v>
      </c>
      <c r="E140" s="125">
        <f t="shared" si="6"/>
        <v>3.075</v>
      </c>
      <c r="F140" s="101"/>
    </row>
    <row r="141" spans="1:6">
      <c r="A141" s="7" t="s">
        <v>83</v>
      </c>
      <c r="B141" s="123" t="s">
        <v>70</v>
      </c>
      <c r="C141" s="166">
        <v>6</v>
      </c>
      <c r="D141" s="125">
        <f t="shared" si="5"/>
        <v>25.9</v>
      </c>
      <c r="E141" s="125">
        <f t="shared" si="6"/>
        <v>4.31666666666667</v>
      </c>
      <c r="F141" s="101"/>
    </row>
    <row r="142" spans="1:6">
      <c r="A142" s="7" t="s">
        <v>85</v>
      </c>
      <c r="B142" s="123" t="s">
        <v>86</v>
      </c>
      <c r="C142" s="166">
        <v>3</v>
      </c>
      <c r="D142" s="125">
        <f>+D126</f>
        <v>52.9</v>
      </c>
      <c r="E142" s="125">
        <f t="shared" si="6"/>
        <v>17.6333333333333</v>
      </c>
      <c r="F142" s="101"/>
    </row>
    <row r="143" spans="1:7">
      <c r="A143" s="7" t="s">
        <v>88</v>
      </c>
      <c r="B143" s="123" t="s">
        <v>70</v>
      </c>
      <c r="C143" s="166">
        <v>12</v>
      </c>
      <c r="D143" s="125">
        <f>+D128</f>
        <v>67.98</v>
      </c>
      <c r="E143" s="125">
        <f t="shared" si="6"/>
        <v>5.665</v>
      </c>
      <c r="F143" s="101"/>
      <c r="G143" s="99"/>
    </row>
    <row r="144" spans="1:7">
      <c r="A144" s="7" t="s">
        <v>91</v>
      </c>
      <c r="B144" s="123" t="s">
        <v>92</v>
      </c>
      <c r="C144" s="166">
        <v>6</v>
      </c>
      <c r="D144" s="125">
        <f>+D131</f>
        <v>22.9</v>
      </c>
      <c r="E144" s="125">
        <f t="shared" si="6"/>
        <v>3.81666666666667</v>
      </c>
      <c r="F144" s="101"/>
      <c r="G144" s="99"/>
    </row>
    <row r="145" spans="1:7">
      <c r="A145" s="7" t="s">
        <v>93</v>
      </c>
      <c r="B145" s="123" t="s">
        <v>94</v>
      </c>
      <c r="C145" s="167">
        <v>1</v>
      </c>
      <c r="D145" s="149">
        <v>50</v>
      </c>
      <c r="E145" s="125">
        <f>C145*D145</f>
        <v>50</v>
      </c>
      <c r="F145" s="101"/>
      <c r="G145" s="99"/>
    </row>
    <row r="146" spans="1:7">
      <c r="A146" s="7" t="s">
        <v>44</v>
      </c>
      <c r="B146" s="123" t="s">
        <v>45</v>
      </c>
      <c r="C146" s="168">
        <v>1</v>
      </c>
      <c r="D146" s="125">
        <f>+SUM(E139:E145)</f>
        <v>97.4233333333333</v>
      </c>
      <c r="E146" s="125">
        <f>C146*D146</f>
        <v>97.4233333333333</v>
      </c>
      <c r="F146" s="101"/>
      <c r="G146" s="99"/>
    </row>
    <row r="147" spans="1:7">
      <c r="A147" s="7"/>
      <c r="B147" s="7"/>
      <c r="C147" s="7"/>
      <c r="D147" s="154" t="s">
        <v>46</v>
      </c>
      <c r="E147" s="101">
        <f>$B$50</f>
        <v>0.1</v>
      </c>
      <c r="F147" s="129">
        <f>E146*E147</f>
        <v>9.74233333333333</v>
      </c>
      <c r="G147" s="99"/>
    </row>
    <row r="148" ht="11.25" customHeight="1" spans="1:7">
      <c r="A148" s="7"/>
      <c r="B148" s="7"/>
      <c r="C148" s="7"/>
      <c r="D148" s="101"/>
      <c r="E148" s="101"/>
      <c r="F148" s="101"/>
      <c r="G148" s="99"/>
    </row>
    <row r="149" spans="1:7">
      <c r="A149" s="4" t="s">
        <v>96</v>
      </c>
      <c r="B149" s="7"/>
      <c r="C149" s="7"/>
      <c r="D149" s="101"/>
      <c r="E149" s="101"/>
      <c r="F149" s="169">
        <f>+F134+F147</f>
        <v>309.336166666667</v>
      </c>
      <c r="G149" s="99"/>
    </row>
    <row r="150" ht="11.25" customHeight="1" spans="1:7">
      <c r="A150" s="7"/>
      <c r="B150" s="7"/>
      <c r="C150" s="7"/>
      <c r="D150" s="101"/>
      <c r="E150" s="101"/>
      <c r="F150" s="101"/>
      <c r="G150" s="99"/>
    </row>
    <row r="151" spans="1:7">
      <c r="A151" s="4" t="s">
        <v>196</v>
      </c>
      <c r="B151" s="7"/>
      <c r="C151" s="7"/>
      <c r="D151" s="101"/>
      <c r="E151" s="101"/>
      <c r="F151" s="101"/>
      <c r="G151" s="99"/>
    </row>
    <row r="152" ht="11.25" customHeight="1" spans="1:7">
      <c r="A152" s="7"/>
      <c r="B152" s="170"/>
      <c r="C152" s="7"/>
      <c r="D152" s="101"/>
      <c r="E152" s="101"/>
      <c r="F152" s="101"/>
      <c r="G152" s="99"/>
    </row>
    <row r="153" spans="1:7">
      <c r="A153" s="7" t="s">
        <v>197</v>
      </c>
      <c r="B153" s="7"/>
      <c r="C153" s="7"/>
      <c r="D153" s="101"/>
      <c r="E153" s="111"/>
      <c r="F153" s="111"/>
      <c r="G153" s="99"/>
    </row>
    <row r="154" ht="11.25" customHeight="1" spans="1:7">
      <c r="A154" s="7"/>
      <c r="B154" s="7"/>
      <c r="C154" s="7"/>
      <c r="D154" s="101"/>
      <c r="E154" s="101"/>
      <c r="F154" s="101"/>
      <c r="G154" s="99"/>
    </row>
    <row r="155" spans="1:7">
      <c r="A155" s="170" t="s">
        <v>99</v>
      </c>
      <c r="B155" s="7"/>
      <c r="C155" s="7"/>
      <c r="D155" s="101"/>
      <c r="E155" s="101"/>
      <c r="F155" s="101"/>
      <c r="G155" s="99"/>
    </row>
    <row r="156" spans="1:7">
      <c r="A156" s="121" t="s">
        <v>25</v>
      </c>
      <c r="B156" s="121" t="s">
        <v>26</v>
      </c>
      <c r="C156" s="121" t="s">
        <v>19</v>
      </c>
      <c r="D156" s="122" t="s">
        <v>27</v>
      </c>
      <c r="E156" s="122" t="s">
        <v>28</v>
      </c>
      <c r="F156" s="122" t="s">
        <v>29</v>
      </c>
      <c r="G156" s="99"/>
    </row>
    <row r="157" spans="1:7">
      <c r="A157" s="7" t="s">
        <v>100</v>
      </c>
      <c r="B157" s="123" t="s">
        <v>70</v>
      </c>
      <c r="C157" s="171">
        <v>1</v>
      </c>
      <c r="D157" s="163">
        <v>315000</v>
      </c>
      <c r="E157" s="125">
        <f>C157*D157</f>
        <v>315000</v>
      </c>
      <c r="F157" s="101"/>
      <c r="G157" s="99"/>
    </row>
    <row r="158" spans="1:7">
      <c r="A158" s="7" t="s">
        <v>101</v>
      </c>
      <c r="B158" s="123" t="s">
        <v>102</v>
      </c>
      <c r="C158" s="152">
        <v>10</v>
      </c>
      <c r="D158" s="153"/>
      <c r="E158" s="125"/>
      <c r="F158" s="101"/>
      <c r="G158" s="99"/>
    </row>
    <row r="159" spans="1:10">
      <c r="A159" s="7" t="s">
        <v>103</v>
      </c>
      <c r="B159" s="123" t="s">
        <v>102</v>
      </c>
      <c r="C159" s="152">
        <v>0</v>
      </c>
      <c r="D159" s="125"/>
      <c r="E159" s="125"/>
      <c r="F159" s="125"/>
      <c r="I159" s="175"/>
      <c r="J159" s="175"/>
    </row>
    <row r="160" spans="1:6">
      <c r="A160" s="7" t="s">
        <v>104</v>
      </c>
      <c r="B160" s="123" t="s">
        <v>5</v>
      </c>
      <c r="C160" s="128">
        <f>IFERROR(VLOOKUP(C158,'8. Depreciação'!A3:B17,2,FALSE),0)</f>
        <v>65.18</v>
      </c>
      <c r="D160" s="125">
        <f>E157</f>
        <v>315000</v>
      </c>
      <c r="E160" s="125">
        <f>C160*D160/100</f>
        <v>205317</v>
      </c>
      <c r="F160" s="101"/>
    </row>
    <row r="161" spans="1:6">
      <c r="A161" s="4" t="s">
        <v>198</v>
      </c>
      <c r="B161" s="146" t="s">
        <v>31</v>
      </c>
      <c r="C161" s="146">
        <f>C158*12</f>
        <v>120</v>
      </c>
      <c r="D161" s="110">
        <f>IF(C159&lt;=C158,E160,0)</f>
        <v>205317</v>
      </c>
      <c r="E161" s="110">
        <f>IFERROR(D161/C161,0)</f>
        <v>1710.975</v>
      </c>
      <c r="F161" s="101"/>
    </row>
    <row r="162" spans="1:6">
      <c r="A162" s="4" t="s">
        <v>111</v>
      </c>
      <c r="B162" s="146"/>
      <c r="C162" s="146"/>
      <c r="D162" s="110"/>
      <c r="E162" s="110">
        <f>E161</f>
        <v>1710.975</v>
      </c>
      <c r="F162" s="101"/>
    </row>
    <row r="163" spans="1:6">
      <c r="A163" s="4" t="s">
        <v>112</v>
      </c>
      <c r="B163" s="146" t="s">
        <v>70</v>
      </c>
      <c r="C163" s="152">
        <v>1</v>
      </c>
      <c r="D163" s="110">
        <f>E162</f>
        <v>1710.975</v>
      </c>
      <c r="E163" s="110">
        <f>C163*D163</f>
        <v>1710.975</v>
      </c>
      <c r="F163" s="101"/>
    </row>
    <row r="164" spans="1:6">
      <c r="A164" s="173"/>
      <c r="B164" s="173"/>
      <c r="C164" s="173"/>
      <c r="D164" s="154" t="s">
        <v>46</v>
      </c>
      <c r="E164" s="101">
        <f>$B$50</f>
        <v>0.1</v>
      </c>
      <c r="F164" s="129">
        <f>E163*E164</f>
        <v>171.0975</v>
      </c>
    </row>
    <row r="165" ht="11.25" customHeight="1" spans="1:6">
      <c r="A165" s="7"/>
      <c r="B165" s="7"/>
      <c r="C165" s="7"/>
      <c r="D165" s="101"/>
      <c r="E165" s="101"/>
      <c r="F165" s="101"/>
    </row>
    <row r="166" spans="1:6">
      <c r="A166" s="170" t="s">
        <v>113</v>
      </c>
      <c r="B166" s="7"/>
      <c r="C166" s="7"/>
      <c r="D166" s="101"/>
      <c r="E166" s="101"/>
      <c r="F166" s="101"/>
    </row>
    <row r="167" spans="1:10">
      <c r="A167" s="121" t="s">
        <v>25</v>
      </c>
      <c r="B167" s="121" t="s">
        <v>26</v>
      </c>
      <c r="C167" s="121" t="s">
        <v>19</v>
      </c>
      <c r="D167" s="122" t="s">
        <v>27</v>
      </c>
      <c r="E167" s="122" t="s">
        <v>28</v>
      </c>
      <c r="F167" s="122" t="s">
        <v>29</v>
      </c>
      <c r="I167" s="175"/>
      <c r="J167" s="175"/>
    </row>
    <row r="168" spans="1:10">
      <c r="A168" s="7" t="s">
        <v>114</v>
      </c>
      <c r="B168" s="123" t="s">
        <v>70</v>
      </c>
      <c r="C168" s="171">
        <v>1</v>
      </c>
      <c r="D168" s="125">
        <f>D157</f>
        <v>315000</v>
      </c>
      <c r="E168" s="125">
        <f>C168*D168</f>
        <v>315000</v>
      </c>
      <c r="F168" s="125"/>
      <c r="I168" s="175"/>
      <c r="J168" s="175"/>
    </row>
    <row r="169" spans="1:10">
      <c r="A169" s="7" t="s">
        <v>115</v>
      </c>
      <c r="B169" s="123" t="s">
        <v>5</v>
      </c>
      <c r="C169" s="174">
        <v>13.75</v>
      </c>
      <c r="D169" s="125"/>
      <c r="E169" s="125"/>
      <c r="F169" s="125"/>
      <c r="I169" s="175"/>
      <c r="J169" s="175"/>
    </row>
    <row r="170" spans="1:10">
      <c r="A170" s="7" t="s">
        <v>116</v>
      </c>
      <c r="B170" s="123" t="s">
        <v>38</v>
      </c>
      <c r="C170" s="176">
        <f>IFERROR(IF(C159&lt;=C158,E157-(C160/(100*C158)*C159)*E157,E157-E160),0)</f>
        <v>315000</v>
      </c>
      <c r="D170" s="125"/>
      <c r="E170" s="125"/>
      <c r="F170" s="125"/>
      <c r="I170" s="175"/>
      <c r="J170" s="175"/>
    </row>
    <row r="171" spans="1:10">
      <c r="A171" s="7" t="s">
        <v>117</v>
      </c>
      <c r="B171" s="123" t="s">
        <v>38</v>
      </c>
      <c r="C171" s="153">
        <f>IFERROR(IF(C159&gt;=C158,C170,((((C170)-(E157-E160))*(((C158-C159)+1)/(2*(C158-C159))))+(E157-E160))),0)</f>
        <v>222607.35</v>
      </c>
      <c r="D171" s="125"/>
      <c r="E171" s="125"/>
      <c r="F171" s="125"/>
      <c r="I171" s="175"/>
      <c r="J171" s="175"/>
    </row>
    <row r="172" spans="1:10">
      <c r="A172" s="4" t="s">
        <v>118</v>
      </c>
      <c r="B172" s="146" t="s">
        <v>38</v>
      </c>
      <c r="C172" s="146"/>
      <c r="D172" s="130">
        <f>C169*C171/12/100</f>
        <v>2550.70921875</v>
      </c>
      <c r="E172" s="110">
        <f>D172</f>
        <v>2550.70921875</v>
      </c>
      <c r="F172" s="125"/>
      <c r="I172" s="175"/>
      <c r="J172" s="175"/>
    </row>
    <row r="173" spans="1:10">
      <c r="A173" s="4" t="s">
        <v>111</v>
      </c>
      <c r="B173" s="146"/>
      <c r="C173" s="146"/>
      <c r="D173" s="110"/>
      <c r="E173" s="110">
        <f>E172</f>
        <v>2550.70921875</v>
      </c>
      <c r="F173" s="125"/>
      <c r="I173" s="175"/>
      <c r="J173" s="175"/>
    </row>
    <row r="174" spans="1:10">
      <c r="A174" s="4" t="s">
        <v>112</v>
      </c>
      <c r="B174" s="146" t="s">
        <v>70</v>
      </c>
      <c r="C174" s="171">
        <f>C163</f>
        <v>1</v>
      </c>
      <c r="D174" s="110">
        <f>E173</f>
        <v>2550.70921875</v>
      </c>
      <c r="E174" s="110">
        <f>C174*D174</f>
        <v>2550.70921875</v>
      </c>
      <c r="F174" s="125"/>
      <c r="I174" s="175"/>
      <c r="J174" s="175"/>
    </row>
    <row r="175" spans="1:10">
      <c r="A175" s="7"/>
      <c r="B175" s="7"/>
      <c r="C175" s="123"/>
      <c r="D175" s="154" t="s">
        <v>46</v>
      </c>
      <c r="E175" s="101">
        <f>$B$50</f>
        <v>0.1</v>
      </c>
      <c r="F175" s="129">
        <f>E174*E175</f>
        <v>255.070921875</v>
      </c>
      <c r="I175" s="175"/>
      <c r="J175" s="175"/>
    </row>
    <row r="176" ht="11.25" customHeight="1" spans="1:10">
      <c r="A176" s="7"/>
      <c r="B176" s="7"/>
      <c r="C176" s="7"/>
      <c r="D176" s="101"/>
      <c r="E176" s="101"/>
      <c r="F176" s="101"/>
      <c r="I176" s="175"/>
      <c r="J176" s="175"/>
    </row>
    <row r="177" spans="1:10">
      <c r="A177" s="7" t="s">
        <v>123</v>
      </c>
      <c r="B177" s="7"/>
      <c r="C177" s="7"/>
      <c r="D177" s="101"/>
      <c r="E177" s="101"/>
      <c r="F177" s="101"/>
      <c r="I177" s="175"/>
      <c r="J177" s="175"/>
    </row>
    <row r="178" spans="1:10">
      <c r="A178" s="121" t="s">
        <v>25</v>
      </c>
      <c r="B178" s="121" t="s">
        <v>26</v>
      </c>
      <c r="C178" s="121" t="s">
        <v>19</v>
      </c>
      <c r="D178" s="122" t="s">
        <v>27</v>
      </c>
      <c r="E178" s="122" t="s">
        <v>28</v>
      </c>
      <c r="F178" s="122" t="s">
        <v>29</v>
      </c>
      <c r="I178" s="175"/>
      <c r="J178" s="175"/>
    </row>
    <row r="179" spans="1:10">
      <c r="A179" s="7" t="s">
        <v>124</v>
      </c>
      <c r="B179" s="123" t="s">
        <v>70</v>
      </c>
      <c r="C179" s="125">
        <f>C163</f>
        <v>1</v>
      </c>
      <c r="D179" s="125">
        <f>0.01*($E$157)</f>
        <v>3150</v>
      </c>
      <c r="E179" s="125">
        <f t="shared" ref="E179:E181" si="7">C179*D179</f>
        <v>3150</v>
      </c>
      <c r="F179" s="101"/>
      <c r="I179" s="175"/>
      <c r="J179" s="175"/>
    </row>
    <row r="180" spans="1:10">
      <c r="A180" s="7" t="s">
        <v>125</v>
      </c>
      <c r="B180" s="123" t="s">
        <v>70</v>
      </c>
      <c r="C180" s="125">
        <f>C163</f>
        <v>1</v>
      </c>
      <c r="D180" s="149">
        <v>230.71</v>
      </c>
      <c r="E180" s="125">
        <f t="shared" si="7"/>
        <v>230.71</v>
      </c>
      <c r="F180" s="101"/>
      <c r="I180" s="175"/>
      <c r="J180" s="175"/>
    </row>
    <row r="181" spans="1:10">
      <c r="A181" s="155" t="s">
        <v>126</v>
      </c>
      <c r="B181" s="123" t="s">
        <v>70</v>
      </c>
      <c r="C181" s="125">
        <f>C163</f>
        <v>1</v>
      </c>
      <c r="D181" s="149">
        <v>5000</v>
      </c>
      <c r="E181" s="125">
        <f t="shared" si="7"/>
        <v>5000</v>
      </c>
      <c r="F181" s="110"/>
      <c r="I181" s="175"/>
      <c r="J181" s="175"/>
    </row>
    <row r="182" spans="1:10">
      <c r="A182" s="4" t="s">
        <v>127</v>
      </c>
      <c r="B182" s="146" t="s">
        <v>31</v>
      </c>
      <c r="C182" s="146">
        <v>12</v>
      </c>
      <c r="D182" s="110">
        <f>SUM(E179:E181)</f>
        <v>8380.71</v>
      </c>
      <c r="E182" s="110">
        <f>D182/C182</f>
        <v>698.3925</v>
      </c>
      <c r="F182" s="101"/>
      <c r="I182" s="175"/>
      <c r="J182" s="175"/>
    </row>
    <row r="183" spans="1:10">
      <c r="A183" s="7"/>
      <c r="B183" s="7"/>
      <c r="C183" s="7"/>
      <c r="D183" s="154" t="s">
        <v>46</v>
      </c>
      <c r="E183" s="101">
        <f>$B$50</f>
        <v>0.1</v>
      </c>
      <c r="F183" s="129">
        <f>E182*E183</f>
        <v>69.83925</v>
      </c>
      <c r="I183" s="175"/>
      <c r="J183" s="175"/>
    </row>
    <row r="184" ht="11.25" customHeight="1" spans="1:10">
      <c r="A184" s="7"/>
      <c r="B184" s="7"/>
      <c r="C184" s="7"/>
      <c r="D184" s="101"/>
      <c r="E184" s="101"/>
      <c r="F184" s="101"/>
      <c r="I184" s="175"/>
      <c r="J184" s="175"/>
    </row>
    <row r="185" spans="1:10">
      <c r="A185" s="7" t="s">
        <v>128</v>
      </c>
      <c r="B185" s="177"/>
      <c r="C185" s="7"/>
      <c r="D185" s="101"/>
      <c r="E185" s="101"/>
      <c r="F185" s="101"/>
      <c r="I185" s="175"/>
      <c r="J185" s="175"/>
    </row>
    <row r="186" spans="1:10">
      <c r="A186" s="7"/>
      <c r="B186" s="177"/>
      <c r="C186" s="7"/>
      <c r="D186" s="101"/>
      <c r="E186" s="101"/>
      <c r="F186" s="101"/>
      <c r="I186" s="175"/>
      <c r="J186" s="175"/>
    </row>
    <row r="187" spans="1:10">
      <c r="A187" s="4" t="s">
        <v>199</v>
      </c>
      <c r="B187" s="178">
        <v>35</v>
      </c>
      <c r="C187" s="7"/>
      <c r="D187" s="101"/>
      <c r="E187" s="101"/>
      <c r="F187" s="101"/>
      <c r="I187" s="175"/>
      <c r="J187" s="175"/>
    </row>
    <row r="188" spans="1:10">
      <c r="A188" s="7"/>
      <c r="B188" s="177"/>
      <c r="C188" s="7"/>
      <c r="D188" s="101"/>
      <c r="E188" s="101"/>
      <c r="F188" s="101"/>
      <c r="I188" s="175"/>
      <c r="J188" s="175"/>
    </row>
    <row r="189" spans="1:10">
      <c r="A189" s="121" t="s">
        <v>25</v>
      </c>
      <c r="B189" s="121" t="s">
        <v>26</v>
      </c>
      <c r="C189" s="121" t="s">
        <v>130</v>
      </c>
      <c r="D189" s="122" t="s">
        <v>27</v>
      </c>
      <c r="E189" s="122" t="s">
        <v>28</v>
      </c>
      <c r="F189" s="122" t="s">
        <v>29</v>
      </c>
      <c r="I189" s="175"/>
      <c r="J189" s="175"/>
    </row>
    <row r="190" spans="1:10">
      <c r="A190" s="7" t="s">
        <v>131</v>
      </c>
      <c r="B190" s="123" t="s">
        <v>200</v>
      </c>
      <c r="C190" s="179">
        <v>12</v>
      </c>
      <c r="D190" s="182">
        <v>5.3</v>
      </c>
      <c r="E190" s="125"/>
      <c r="F190" s="101"/>
      <c r="I190" s="175"/>
      <c r="J190" s="175"/>
    </row>
    <row r="191" spans="1:10">
      <c r="A191" s="155" t="s">
        <v>133</v>
      </c>
      <c r="B191" s="123" t="s">
        <v>201</v>
      </c>
      <c r="C191" s="120">
        <f>B187</f>
        <v>35</v>
      </c>
      <c r="D191" s="180">
        <f>D190*C190</f>
        <v>63.6</v>
      </c>
      <c r="E191" s="149">
        <f>D191*C191</f>
        <v>2226</v>
      </c>
      <c r="F191" s="101"/>
      <c r="I191" s="175"/>
      <c r="J191" s="175"/>
    </row>
    <row r="192" spans="1:10">
      <c r="A192" s="155" t="s">
        <v>202</v>
      </c>
      <c r="B192" s="123" t="s">
        <v>203</v>
      </c>
      <c r="C192" s="179">
        <v>20</v>
      </c>
      <c r="D192" s="149">
        <v>21</v>
      </c>
      <c r="E192" s="125"/>
      <c r="F192" s="101"/>
      <c r="G192" s="183"/>
      <c r="H192" s="184"/>
      <c r="I192" s="175"/>
      <c r="J192" s="175"/>
    </row>
    <row r="193" spans="1:10">
      <c r="A193" s="155" t="s">
        <v>139</v>
      </c>
      <c r="B193" s="123" t="s">
        <v>201</v>
      </c>
      <c r="C193" s="120">
        <f>C191</f>
        <v>35</v>
      </c>
      <c r="D193" s="180">
        <f>+C192*D192/1000</f>
        <v>0.42</v>
      </c>
      <c r="E193" s="125">
        <f t="shared" ref="E193:E197" si="8">C193*D193</f>
        <v>14.7</v>
      </c>
      <c r="F193" s="101"/>
      <c r="G193" s="183"/>
      <c r="H193" s="184"/>
      <c r="I193" s="175"/>
      <c r="J193" s="175"/>
    </row>
    <row r="194" spans="1:10">
      <c r="A194" s="155" t="s">
        <v>204</v>
      </c>
      <c r="B194" s="123" t="s">
        <v>203</v>
      </c>
      <c r="C194" s="179">
        <v>40</v>
      </c>
      <c r="D194" s="149">
        <v>105</v>
      </c>
      <c r="E194" s="125"/>
      <c r="F194" s="101"/>
      <c r="G194" s="183"/>
      <c r="H194" s="184"/>
      <c r="I194" s="175"/>
      <c r="J194" s="175"/>
    </row>
    <row r="195" spans="1:10">
      <c r="A195" s="155" t="s">
        <v>141</v>
      </c>
      <c r="B195" s="123" t="s">
        <v>201</v>
      </c>
      <c r="C195" s="120">
        <f>C191</f>
        <v>35</v>
      </c>
      <c r="D195" s="180">
        <f>+C194*D194/1000</f>
        <v>4.2</v>
      </c>
      <c r="E195" s="125">
        <f t="shared" si="8"/>
        <v>147</v>
      </c>
      <c r="F195" s="101"/>
      <c r="G195" s="183"/>
      <c r="H195" s="184"/>
      <c r="I195" s="175"/>
      <c r="J195" s="175"/>
    </row>
    <row r="196" spans="1:10">
      <c r="A196" s="155" t="s">
        <v>205</v>
      </c>
      <c r="B196" s="123" t="s">
        <v>206</v>
      </c>
      <c r="C196" s="179">
        <v>80</v>
      </c>
      <c r="D196" s="149">
        <v>149</v>
      </c>
      <c r="E196" s="125"/>
      <c r="F196" s="101"/>
      <c r="G196" s="183"/>
      <c r="H196" s="184"/>
      <c r="I196" s="175"/>
      <c r="J196" s="175"/>
    </row>
    <row r="197" spans="1:10">
      <c r="A197" s="155" t="s">
        <v>143</v>
      </c>
      <c r="B197" s="123" t="s">
        <v>201</v>
      </c>
      <c r="C197" s="120">
        <f>C191</f>
        <v>35</v>
      </c>
      <c r="D197" s="180">
        <f>+C196*D196/1000</f>
        <v>11.92</v>
      </c>
      <c r="E197" s="125">
        <f t="shared" si="8"/>
        <v>417.2</v>
      </c>
      <c r="F197" s="101"/>
      <c r="G197" s="183"/>
      <c r="H197" s="184"/>
      <c r="I197" s="175"/>
      <c r="J197" s="175"/>
    </row>
    <row r="198" spans="1:10">
      <c r="A198" s="155" t="s">
        <v>144</v>
      </c>
      <c r="B198" s="123" t="s">
        <v>207</v>
      </c>
      <c r="C198" s="179">
        <v>5</v>
      </c>
      <c r="D198" s="149">
        <v>32.5</v>
      </c>
      <c r="E198" s="125"/>
      <c r="F198" s="101"/>
      <c r="G198" s="183"/>
      <c r="H198" s="184"/>
      <c r="I198" s="175"/>
      <c r="J198" s="175"/>
    </row>
    <row r="199" spans="1:10">
      <c r="A199" s="7" t="s">
        <v>146</v>
      </c>
      <c r="B199" s="123" t="s">
        <v>207</v>
      </c>
      <c r="C199" s="120">
        <f>C191</f>
        <v>35</v>
      </c>
      <c r="D199" s="180">
        <f>+C198*D198/1000</f>
        <v>0.1625</v>
      </c>
      <c r="E199" s="125">
        <f>C199*D199</f>
        <v>5.6875</v>
      </c>
      <c r="F199" s="101"/>
      <c r="G199" s="183"/>
      <c r="H199" s="184"/>
      <c r="I199" s="175"/>
      <c r="J199" s="175"/>
    </row>
    <row r="200" spans="1:10">
      <c r="A200" s="4" t="s">
        <v>147</v>
      </c>
      <c r="B200" s="146" t="s">
        <v>148</v>
      </c>
      <c r="C200" s="148"/>
      <c r="D200" s="185">
        <f>IFERROR(D191+D193+D195+D197+D199,0)</f>
        <v>80.3025</v>
      </c>
      <c r="E200" s="125"/>
      <c r="F200" s="101"/>
      <c r="G200" s="183"/>
      <c r="H200" s="184"/>
      <c r="I200" s="175"/>
      <c r="J200" s="175"/>
    </row>
    <row r="201" spans="1:10">
      <c r="A201" s="7"/>
      <c r="B201" s="7"/>
      <c r="C201" s="7"/>
      <c r="D201" s="101"/>
      <c r="E201" s="101"/>
      <c r="F201" s="186">
        <f>SUM(E190:E199)</f>
        <v>2810.5875</v>
      </c>
      <c r="I201" s="175"/>
      <c r="J201" s="175"/>
    </row>
    <row r="202" ht="11.25" customHeight="1" spans="1:10">
      <c r="A202" s="7"/>
      <c r="B202" s="7"/>
      <c r="C202" s="7"/>
      <c r="D202" s="101"/>
      <c r="E202" s="101"/>
      <c r="F202" s="101"/>
      <c r="I202" s="175"/>
      <c r="J202" s="175"/>
    </row>
    <row r="203" spans="1:10">
      <c r="A203" s="7" t="s">
        <v>149</v>
      </c>
      <c r="B203" s="7"/>
      <c r="C203" s="7"/>
      <c r="D203" s="101"/>
      <c r="E203" s="101"/>
      <c r="F203" s="101"/>
      <c r="I203" s="175"/>
      <c r="J203" s="175"/>
    </row>
    <row r="204" spans="1:10">
      <c r="A204" s="121" t="s">
        <v>25</v>
      </c>
      <c r="B204" s="121" t="s">
        <v>26</v>
      </c>
      <c r="C204" s="121" t="s">
        <v>19</v>
      </c>
      <c r="D204" s="122" t="s">
        <v>27</v>
      </c>
      <c r="E204" s="122" t="s">
        <v>28</v>
      </c>
      <c r="F204" s="122" t="s">
        <v>29</v>
      </c>
      <c r="I204" s="175"/>
      <c r="J204" s="175"/>
    </row>
    <row r="205" spans="1:10">
      <c r="A205" s="7" t="s">
        <v>150</v>
      </c>
      <c r="B205" s="123" t="s">
        <v>148</v>
      </c>
      <c r="C205" s="120">
        <f>C191</f>
        <v>35</v>
      </c>
      <c r="D205" s="149">
        <v>15</v>
      </c>
      <c r="E205" s="125">
        <f>C205*D205</f>
        <v>525</v>
      </c>
      <c r="F205" s="101"/>
      <c r="I205" s="175"/>
      <c r="J205" s="175"/>
    </row>
    <row r="206" spans="1:10">
      <c r="A206" s="7"/>
      <c r="B206" s="7"/>
      <c r="C206" s="7"/>
      <c r="D206" s="101"/>
      <c r="E206" s="101"/>
      <c r="F206" s="129">
        <f>E205</f>
        <v>525</v>
      </c>
      <c r="I206" s="175"/>
      <c r="J206" s="175"/>
    </row>
    <row r="207" ht="11.25" customHeight="1" spans="1:10">
      <c r="A207" s="7"/>
      <c r="B207" s="7"/>
      <c r="C207" s="7"/>
      <c r="D207" s="101"/>
      <c r="E207" s="101"/>
      <c r="F207" s="101"/>
      <c r="I207" s="175"/>
      <c r="J207" s="175"/>
    </row>
    <row r="208" spans="1:10">
      <c r="A208" s="7" t="s">
        <v>151</v>
      </c>
      <c r="B208" s="7"/>
      <c r="C208" s="7"/>
      <c r="D208" s="101"/>
      <c r="E208" s="101"/>
      <c r="F208" s="101"/>
      <c r="I208" s="175"/>
      <c r="J208" s="175"/>
    </row>
    <row r="209" spans="1:10">
      <c r="A209" s="121" t="s">
        <v>25</v>
      </c>
      <c r="B209" s="121" t="s">
        <v>26</v>
      </c>
      <c r="C209" s="121" t="s">
        <v>19</v>
      </c>
      <c r="D209" s="122" t="s">
        <v>27</v>
      </c>
      <c r="E209" s="122" t="s">
        <v>28</v>
      </c>
      <c r="F209" s="122" t="s">
        <v>29</v>
      </c>
      <c r="I209" s="175"/>
      <c r="J209" s="175"/>
    </row>
    <row r="210" spans="1:10">
      <c r="A210" s="158" t="s">
        <v>208</v>
      </c>
      <c r="B210" s="123" t="s">
        <v>70</v>
      </c>
      <c r="C210" s="152">
        <v>4</v>
      </c>
      <c r="D210" s="149">
        <v>2700</v>
      </c>
      <c r="E210" s="125">
        <f>C210*D210</f>
        <v>10800</v>
      </c>
      <c r="F210" s="101"/>
      <c r="I210" s="175"/>
      <c r="J210" s="175"/>
    </row>
    <row r="211" spans="1:10">
      <c r="A211" s="158" t="s">
        <v>153</v>
      </c>
      <c r="B211" s="123" t="s">
        <v>70</v>
      </c>
      <c r="C211" s="152">
        <v>1</v>
      </c>
      <c r="D211" s="153"/>
      <c r="E211" s="125"/>
      <c r="F211" s="101"/>
      <c r="I211" s="175"/>
      <c r="J211" s="175"/>
    </row>
    <row r="212" spans="1:10">
      <c r="A212" s="7" t="s">
        <v>154</v>
      </c>
      <c r="B212" s="123" t="s">
        <v>70</v>
      </c>
      <c r="C212" s="125">
        <f>C210*C211</f>
        <v>4</v>
      </c>
      <c r="D212" s="149">
        <v>800</v>
      </c>
      <c r="E212" s="125">
        <f>C212*D212</f>
        <v>3200</v>
      </c>
      <c r="F212" s="101"/>
      <c r="I212" s="175"/>
      <c r="J212" s="175"/>
    </row>
    <row r="213" spans="1:10">
      <c r="A213" s="158" t="s">
        <v>155</v>
      </c>
      <c r="B213" s="123" t="s">
        <v>156</v>
      </c>
      <c r="C213" s="187">
        <v>10000</v>
      </c>
      <c r="D213" s="125">
        <f>E210+E212</f>
        <v>14000</v>
      </c>
      <c r="E213" s="125">
        <f>IFERROR(D213/C213,"-")</f>
        <v>1.4</v>
      </c>
      <c r="F213" s="101"/>
      <c r="I213" s="175"/>
      <c r="J213" s="175"/>
    </row>
    <row r="214" spans="1:10">
      <c r="A214" s="158" t="s">
        <v>157</v>
      </c>
      <c r="B214" s="123" t="s">
        <v>134</v>
      </c>
      <c r="C214" s="120">
        <v>35</v>
      </c>
      <c r="D214" s="125">
        <f>E213</f>
        <v>1.4</v>
      </c>
      <c r="E214" s="125">
        <f>IFERROR(C214*D214,0)</f>
        <v>49</v>
      </c>
      <c r="F214" s="101"/>
      <c r="I214" s="175"/>
      <c r="J214" s="175"/>
    </row>
    <row r="215" spans="1:10">
      <c r="A215" s="7"/>
      <c r="B215" s="7"/>
      <c r="C215" s="7"/>
      <c r="D215" s="154"/>
      <c r="E215" s="101"/>
      <c r="F215" s="129">
        <f>E214</f>
        <v>49</v>
      </c>
      <c r="I215" s="175"/>
      <c r="J215" s="175"/>
    </row>
    <row r="216" spans="1:10">
      <c r="A216" s="7"/>
      <c r="B216" s="7"/>
      <c r="C216" s="7"/>
      <c r="D216" s="101"/>
      <c r="E216" s="101"/>
      <c r="F216" s="129"/>
      <c r="I216" s="175"/>
      <c r="J216" s="175"/>
    </row>
    <row r="217" spans="1:10">
      <c r="A217" s="7" t="s">
        <v>188</v>
      </c>
      <c r="B217" s="7"/>
      <c r="C217" s="7"/>
      <c r="D217" s="101"/>
      <c r="E217" s="101"/>
      <c r="F217" s="101"/>
      <c r="I217" s="175"/>
      <c r="J217" s="175"/>
    </row>
    <row r="218" spans="1:10">
      <c r="A218" s="7"/>
      <c r="B218" s="7"/>
      <c r="C218" s="7"/>
      <c r="D218" s="101"/>
      <c r="E218" s="101"/>
      <c r="F218" s="101"/>
      <c r="I218" s="175"/>
      <c r="J218" s="175"/>
    </row>
    <row r="219" spans="1:10">
      <c r="A219" s="197" t="s">
        <v>209</v>
      </c>
      <c r="B219" s="7"/>
      <c r="C219" s="7"/>
      <c r="D219" s="101"/>
      <c r="E219" s="101"/>
      <c r="F219" s="101"/>
      <c r="I219" s="175"/>
      <c r="J219" s="175"/>
    </row>
    <row r="220" spans="1:10">
      <c r="A220" s="121" t="s">
        <v>25</v>
      </c>
      <c r="B220" s="121" t="s">
        <v>26</v>
      </c>
      <c r="C220" s="121" t="s">
        <v>19</v>
      </c>
      <c r="D220" s="122" t="s">
        <v>27</v>
      </c>
      <c r="E220" s="122" t="s">
        <v>28</v>
      </c>
      <c r="F220" s="122" t="s">
        <v>29</v>
      </c>
      <c r="I220" s="175"/>
      <c r="J220" s="175"/>
    </row>
    <row r="221" spans="1:10">
      <c r="A221" s="7" t="s">
        <v>210</v>
      </c>
      <c r="B221" s="123" t="s">
        <v>70</v>
      </c>
      <c r="C221" s="171">
        <v>1</v>
      </c>
      <c r="D221" s="163">
        <v>500000</v>
      </c>
      <c r="E221" s="125">
        <f>C221*D221</f>
        <v>500000</v>
      </c>
      <c r="F221" s="101"/>
      <c r="I221" s="175"/>
      <c r="J221" s="175"/>
    </row>
    <row r="222" spans="1:10">
      <c r="A222" s="7" t="s">
        <v>211</v>
      </c>
      <c r="B222" s="123" t="s">
        <v>102</v>
      </c>
      <c r="C222" s="152">
        <v>25</v>
      </c>
      <c r="D222" s="153"/>
      <c r="E222" s="125"/>
      <c r="F222" s="101"/>
      <c r="I222" s="175"/>
      <c r="J222" s="175"/>
    </row>
    <row r="223" spans="1:10">
      <c r="A223" s="7" t="s">
        <v>212</v>
      </c>
      <c r="B223" s="123" t="s">
        <v>102</v>
      </c>
      <c r="C223" s="152">
        <v>10</v>
      </c>
      <c r="D223" s="125"/>
      <c r="E223" s="125"/>
      <c r="F223" s="125"/>
      <c r="I223" s="175"/>
      <c r="J223" s="175"/>
    </row>
    <row r="224" spans="1:10">
      <c r="A224" s="7" t="s">
        <v>213</v>
      </c>
      <c r="B224" s="123" t="s">
        <v>5</v>
      </c>
      <c r="C224" s="128">
        <v>100</v>
      </c>
      <c r="D224" s="125">
        <f>E221</f>
        <v>500000</v>
      </c>
      <c r="E224" s="125">
        <f>C224*D224/100</f>
        <v>500000</v>
      </c>
      <c r="F224" s="101"/>
      <c r="I224" s="175"/>
      <c r="J224" s="175"/>
    </row>
    <row r="225" spans="1:10">
      <c r="A225" s="4" t="s">
        <v>214</v>
      </c>
      <c r="B225" s="146" t="s">
        <v>31</v>
      </c>
      <c r="C225" s="146">
        <f>C222*12</f>
        <v>300</v>
      </c>
      <c r="D225" s="110">
        <f>IF(C223&lt;=C222,E224,0)</f>
        <v>500000</v>
      </c>
      <c r="E225" s="110">
        <f>IFERROR(D225/C225,0)</f>
        <v>1666.66666666667</v>
      </c>
      <c r="F225" s="101"/>
      <c r="I225" s="175"/>
      <c r="J225" s="175"/>
    </row>
    <row r="226" spans="1:10">
      <c r="A226" s="4" t="s">
        <v>215</v>
      </c>
      <c r="B226" s="146"/>
      <c r="C226" s="146"/>
      <c r="D226" s="110"/>
      <c r="E226" s="110">
        <f>E225</f>
        <v>1666.66666666667</v>
      </c>
      <c r="F226" s="101"/>
      <c r="I226" s="175"/>
      <c r="J226" s="175"/>
    </row>
    <row r="227" spans="1:10">
      <c r="A227" s="4" t="s">
        <v>112</v>
      </c>
      <c r="B227" s="146" t="s">
        <v>70</v>
      </c>
      <c r="C227" s="152">
        <v>1</v>
      </c>
      <c r="D227" s="110">
        <f>E226</f>
        <v>1666.66666666667</v>
      </c>
      <c r="E227" s="110">
        <f>C227*D227</f>
        <v>1666.66666666667</v>
      </c>
      <c r="F227" s="101"/>
      <c r="I227" s="175"/>
      <c r="J227" s="175"/>
    </row>
    <row r="228" spans="1:10">
      <c r="A228" s="173"/>
      <c r="B228" s="173"/>
      <c r="C228" s="173"/>
      <c r="D228" s="154" t="s">
        <v>46</v>
      </c>
      <c r="E228" s="101">
        <f>$B$50</f>
        <v>0.1</v>
      </c>
      <c r="F228" s="129">
        <f>E227*E228</f>
        <v>166.666666666667</v>
      </c>
      <c r="I228" s="175"/>
      <c r="J228" s="175"/>
    </row>
    <row r="229" spans="1:10">
      <c r="A229" s="7"/>
      <c r="B229" s="7"/>
      <c r="C229" s="7"/>
      <c r="D229" s="101"/>
      <c r="E229" s="101"/>
      <c r="F229" s="101"/>
      <c r="I229" s="175"/>
      <c r="J229" s="175"/>
    </row>
    <row r="230" spans="1:10">
      <c r="A230" s="170" t="s">
        <v>216</v>
      </c>
      <c r="B230" s="7"/>
      <c r="C230" s="7"/>
      <c r="D230" s="101"/>
      <c r="E230" s="101"/>
      <c r="F230" s="101"/>
      <c r="I230" s="175"/>
      <c r="J230" s="175"/>
    </row>
    <row r="231" spans="1:10">
      <c r="A231" s="121" t="s">
        <v>25</v>
      </c>
      <c r="B231" s="121" t="s">
        <v>26</v>
      </c>
      <c r="C231" s="121" t="s">
        <v>19</v>
      </c>
      <c r="D231" s="122" t="s">
        <v>27</v>
      </c>
      <c r="E231" s="122" t="s">
        <v>28</v>
      </c>
      <c r="F231" s="122" t="s">
        <v>29</v>
      </c>
      <c r="I231" s="175"/>
      <c r="J231" s="175"/>
    </row>
    <row r="232" spans="1:10">
      <c r="A232" s="7" t="str">
        <f>A221</f>
        <v>Custo de construção de Galpão de 400m²</v>
      </c>
      <c r="B232" s="123" t="s">
        <v>70</v>
      </c>
      <c r="C232" s="171">
        <v>1</v>
      </c>
      <c r="D232" s="125">
        <f>D221</f>
        <v>500000</v>
      </c>
      <c r="E232" s="125">
        <f>C232*D232</f>
        <v>500000</v>
      </c>
      <c r="F232" s="125"/>
      <c r="I232" s="175"/>
      <c r="J232" s="175"/>
    </row>
    <row r="233" spans="1:10">
      <c r="A233" s="7" t="s">
        <v>115</v>
      </c>
      <c r="B233" s="123" t="s">
        <v>5</v>
      </c>
      <c r="C233" s="174">
        <v>13.75</v>
      </c>
      <c r="D233" s="125"/>
      <c r="E233" s="125"/>
      <c r="F233" s="125"/>
      <c r="I233" s="175"/>
      <c r="J233" s="175"/>
    </row>
    <row r="234" spans="1:10">
      <c r="A234" s="7" t="s">
        <v>217</v>
      </c>
      <c r="B234" s="123" t="s">
        <v>38</v>
      </c>
      <c r="C234" s="176">
        <f>IFERROR(IF(C223&lt;=C222,E221-(C224/(100*C222)*C223)*E221,E221-E224),0)</f>
        <v>300000</v>
      </c>
      <c r="D234" s="125"/>
      <c r="E234" s="125"/>
      <c r="F234" s="125"/>
      <c r="I234" s="175"/>
      <c r="J234" s="175"/>
    </row>
    <row r="235" spans="1:10">
      <c r="A235" s="7" t="s">
        <v>218</v>
      </c>
      <c r="B235" s="123" t="s">
        <v>38</v>
      </c>
      <c r="C235" s="153">
        <f>IFERROR(IF(C223&gt;=C222,C234,((((C234)-(E221-E224))*(((C222-C223)+1)/(2*(C222-C223))))+(E221-E224))),0)</f>
        <v>160000</v>
      </c>
      <c r="D235" s="125"/>
      <c r="E235" s="125"/>
      <c r="F235" s="125"/>
      <c r="I235" s="175"/>
      <c r="J235" s="175"/>
    </row>
    <row r="236" spans="1:10">
      <c r="A236" s="4" t="s">
        <v>118</v>
      </c>
      <c r="B236" s="146" t="s">
        <v>38</v>
      </c>
      <c r="C236" s="146"/>
      <c r="D236" s="130">
        <f>C233*C235/12/100</f>
        <v>1833.33333333333</v>
      </c>
      <c r="E236" s="110">
        <f>D236</f>
        <v>1833.33333333333</v>
      </c>
      <c r="F236" s="125"/>
      <c r="I236" s="175"/>
      <c r="J236" s="175"/>
    </row>
    <row r="237" spans="1:10">
      <c r="A237" s="4" t="s">
        <v>111</v>
      </c>
      <c r="B237" s="146"/>
      <c r="C237" s="146"/>
      <c r="D237" s="110"/>
      <c r="E237" s="110">
        <f>E236</f>
        <v>1833.33333333333</v>
      </c>
      <c r="F237" s="125"/>
      <c r="I237" s="175"/>
      <c r="J237" s="175"/>
    </row>
    <row r="238" spans="1:10">
      <c r="A238" s="4" t="s">
        <v>112</v>
      </c>
      <c r="B238" s="146" t="s">
        <v>70</v>
      </c>
      <c r="C238" s="171">
        <f>C227</f>
        <v>1</v>
      </c>
      <c r="D238" s="110">
        <f>E237</f>
        <v>1833.33333333333</v>
      </c>
      <c r="E238" s="110">
        <f>C238*D238</f>
        <v>1833.33333333333</v>
      </c>
      <c r="F238" s="125"/>
      <c r="I238" s="175"/>
      <c r="J238" s="175"/>
    </row>
    <row r="239" spans="1:10">
      <c r="A239" s="7"/>
      <c r="B239" s="7"/>
      <c r="C239" s="123"/>
      <c r="D239" s="154" t="s">
        <v>46</v>
      </c>
      <c r="E239" s="101">
        <f>$B$50</f>
        <v>0.1</v>
      </c>
      <c r="F239" s="129">
        <f>E238*E239</f>
        <v>183.333333333333</v>
      </c>
      <c r="I239" s="175"/>
      <c r="J239" s="175"/>
    </row>
    <row r="240" spans="1:10">
      <c r="A240" s="7"/>
      <c r="B240" s="7"/>
      <c r="C240" s="7"/>
      <c r="D240" s="101"/>
      <c r="E240" s="101"/>
      <c r="F240" s="129"/>
      <c r="I240" s="175"/>
      <c r="J240" s="175"/>
    </row>
    <row r="241" spans="1:10">
      <c r="A241" s="7" t="s">
        <v>219</v>
      </c>
      <c r="B241" s="7"/>
      <c r="C241" s="7"/>
      <c r="D241" s="101"/>
      <c r="E241" s="101"/>
      <c r="F241" s="129"/>
      <c r="I241" s="175"/>
      <c r="J241" s="175"/>
    </row>
    <row r="242" spans="1:10">
      <c r="A242" s="121" t="s">
        <v>25</v>
      </c>
      <c r="B242" s="121" t="s">
        <v>26</v>
      </c>
      <c r="C242" s="121" t="s">
        <v>19</v>
      </c>
      <c r="D242" s="122" t="s">
        <v>27</v>
      </c>
      <c r="E242" s="122" t="s">
        <v>28</v>
      </c>
      <c r="F242" s="122" t="s">
        <v>29</v>
      </c>
      <c r="I242" s="175"/>
      <c r="J242" s="175"/>
    </row>
    <row r="243" spans="1:10">
      <c r="A243" s="7" t="s">
        <v>220</v>
      </c>
      <c r="B243" s="123" t="s">
        <v>221</v>
      </c>
      <c r="C243" s="152">
        <v>0.021</v>
      </c>
      <c r="D243" s="125">
        <v>28830.59</v>
      </c>
      <c r="E243" s="125">
        <f>C243*D243</f>
        <v>605.44239</v>
      </c>
      <c r="F243" s="125"/>
      <c r="I243" s="175"/>
      <c r="J243" s="175"/>
    </row>
    <row r="244" spans="1:10">
      <c r="A244" s="7" t="s">
        <v>222</v>
      </c>
      <c r="B244" s="123" t="s">
        <v>223</v>
      </c>
      <c r="C244" s="174">
        <v>0.083</v>
      </c>
      <c r="D244" s="125">
        <v>10000</v>
      </c>
      <c r="E244" s="125">
        <f>C244*D244</f>
        <v>830</v>
      </c>
      <c r="F244" s="125"/>
      <c r="I244" s="175"/>
      <c r="J244" s="175"/>
    </row>
    <row r="245" spans="1:10">
      <c r="A245" s="7" t="s">
        <v>224</v>
      </c>
      <c r="B245" s="123" t="s">
        <v>31</v>
      </c>
      <c r="C245" s="198">
        <v>1</v>
      </c>
      <c r="D245" s="125">
        <v>4000</v>
      </c>
      <c r="E245" s="125">
        <f>C245*D245</f>
        <v>4000</v>
      </c>
      <c r="F245" s="125"/>
      <c r="I245" s="175"/>
      <c r="J245" s="175"/>
    </row>
    <row r="246" spans="1:10">
      <c r="A246" s="4" t="s">
        <v>225</v>
      </c>
      <c r="B246" s="4" t="s">
        <v>31</v>
      </c>
      <c r="C246" s="4"/>
      <c r="D246" s="111"/>
      <c r="E246" s="111">
        <f>SUM(E243:E245)</f>
        <v>5435.44239</v>
      </c>
      <c r="F246" s="129"/>
      <c r="I246" s="175"/>
      <c r="J246" s="175"/>
    </row>
    <row r="247" spans="1:10">
      <c r="A247" s="7"/>
      <c r="B247" s="7"/>
      <c r="C247" s="123"/>
      <c r="D247" s="154" t="s">
        <v>46</v>
      </c>
      <c r="E247" s="101">
        <f>$B$50</f>
        <v>0.1</v>
      </c>
      <c r="F247" s="129">
        <f>E246*E247</f>
        <v>543.544239</v>
      </c>
      <c r="I247" s="175"/>
      <c r="J247" s="175"/>
    </row>
    <row r="248" spans="1:10">
      <c r="A248" s="7"/>
      <c r="B248" s="7"/>
      <c r="C248" s="7"/>
      <c r="D248" s="101"/>
      <c r="E248" s="101"/>
      <c r="F248" s="129"/>
      <c r="I248" s="175"/>
      <c r="J248" s="175"/>
    </row>
    <row r="249" spans="1:7">
      <c r="A249" s="4" t="s">
        <v>158</v>
      </c>
      <c r="B249" s="4"/>
      <c r="C249" s="4"/>
      <c r="D249" s="111"/>
      <c r="E249" s="111"/>
      <c r="F249" s="169">
        <f>+SUM(F164:F247)</f>
        <v>4774.139410875</v>
      </c>
      <c r="G249" s="99"/>
    </row>
    <row r="250" ht="11.25" customHeight="1" spans="1:7">
      <c r="A250" s="7"/>
      <c r="B250" s="7"/>
      <c r="C250" s="7"/>
      <c r="D250" s="101"/>
      <c r="E250" s="101"/>
      <c r="F250" s="101"/>
      <c r="G250" s="99"/>
    </row>
    <row r="251" spans="1:7">
      <c r="A251" s="4" t="s">
        <v>159</v>
      </c>
      <c r="B251" s="4"/>
      <c r="C251" s="4"/>
      <c r="D251" s="111"/>
      <c r="E251" s="111"/>
      <c r="F251" s="130"/>
      <c r="G251" s="99"/>
    </row>
    <row r="252" ht="11.25" customHeight="1" spans="1:7">
      <c r="A252" s="7"/>
      <c r="B252" s="7"/>
      <c r="C252" s="7"/>
      <c r="D252" s="101"/>
      <c r="E252" s="101"/>
      <c r="F252" s="101"/>
      <c r="G252" s="99"/>
    </row>
    <row r="253" spans="1:7">
      <c r="A253" s="121" t="s">
        <v>25</v>
      </c>
      <c r="B253" s="121" t="s">
        <v>26</v>
      </c>
      <c r="C253" s="121" t="s">
        <v>19</v>
      </c>
      <c r="D253" s="122" t="s">
        <v>27</v>
      </c>
      <c r="E253" s="122" t="s">
        <v>28</v>
      </c>
      <c r="F253" s="122" t="s">
        <v>29</v>
      </c>
      <c r="G253" s="99"/>
    </row>
    <row r="254" spans="1:7">
      <c r="A254" s="7" t="s">
        <v>160</v>
      </c>
      <c r="B254" s="123" t="s">
        <v>70</v>
      </c>
      <c r="C254" s="166">
        <v>0.0833333333333333</v>
      </c>
      <c r="D254" s="149">
        <v>43.1</v>
      </c>
      <c r="E254" s="125">
        <f>C254*D254</f>
        <v>3.59166666666667</v>
      </c>
      <c r="F254" s="153"/>
      <c r="G254" s="99"/>
    </row>
    <row r="255" spans="1:7">
      <c r="A255" s="7" t="s">
        <v>161</v>
      </c>
      <c r="B255" s="123" t="s">
        <v>70</v>
      </c>
      <c r="C255" s="166">
        <v>0.0833333333333333</v>
      </c>
      <c r="D255" s="149">
        <v>35.09</v>
      </c>
      <c r="E255" s="125">
        <f>C255*D255</f>
        <v>2.92416666666667</v>
      </c>
      <c r="F255" s="153"/>
      <c r="G255" s="99"/>
    </row>
    <row r="256" spans="1:7">
      <c r="A256" s="7" t="s">
        <v>162</v>
      </c>
      <c r="B256" s="123" t="s">
        <v>70</v>
      </c>
      <c r="C256" s="166">
        <v>0.0833333333333333</v>
      </c>
      <c r="D256" s="149">
        <v>20.9</v>
      </c>
      <c r="E256" s="125">
        <f>C256*D256</f>
        <v>1.74166666666667</v>
      </c>
      <c r="F256" s="153"/>
      <c r="G256" s="99"/>
    </row>
    <row r="257" spans="1:7">
      <c r="A257" s="4"/>
      <c r="B257" s="4"/>
      <c r="C257" s="123"/>
      <c r="D257" s="154" t="s">
        <v>46</v>
      </c>
      <c r="E257" s="101">
        <f>$B$50</f>
        <v>0.1</v>
      </c>
      <c r="F257" s="129">
        <f>SUM(E254:E256)*E257</f>
        <v>0.82575</v>
      </c>
      <c r="G257" s="99"/>
    </row>
    <row r="258" ht="11.25" customHeight="1" spans="1:7">
      <c r="A258" s="7"/>
      <c r="B258" s="7"/>
      <c r="C258" s="7"/>
      <c r="D258" s="101"/>
      <c r="E258" s="101"/>
      <c r="F258" s="101"/>
      <c r="G258" s="99"/>
    </row>
    <row r="259" spans="1:7">
      <c r="A259" s="4" t="s">
        <v>166</v>
      </c>
      <c r="B259" s="4"/>
      <c r="C259" s="4"/>
      <c r="D259" s="111"/>
      <c r="E259" s="111"/>
      <c r="F259" s="169">
        <f>+F257</f>
        <v>0.82575</v>
      </c>
      <c r="G259" s="99"/>
    </row>
    <row r="260" ht="11.25" customHeight="1" spans="1:7">
      <c r="A260" s="7"/>
      <c r="B260" s="7"/>
      <c r="C260" s="7"/>
      <c r="D260" s="101"/>
      <c r="E260" s="101"/>
      <c r="F260" s="101"/>
      <c r="G260" s="99"/>
    </row>
    <row r="261" spans="1:6">
      <c r="A261" s="4"/>
      <c r="B261" s="7"/>
      <c r="C261" s="7"/>
      <c r="D261" s="101"/>
      <c r="E261" s="101"/>
      <c r="F261" s="127"/>
    </row>
    <row r="262" ht="17.25" customHeight="1" spans="1:6">
      <c r="A262" s="4" t="s">
        <v>177</v>
      </c>
      <c r="B262" s="7"/>
      <c r="C262" s="7"/>
      <c r="D262" s="101"/>
      <c r="E262" s="101"/>
      <c r="F262" s="126">
        <f>+F115+F149+F249+F259</f>
        <v>13717.2707171417</v>
      </c>
    </row>
    <row r="263" ht="11.25" customHeight="1" spans="1:6">
      <c r="A263" s="7"/>
      <c r="B263" s="7"/>
      <c r="C263" s="7"/>
      <c r="D263" s="101"/>
      <c r="E263" s="101"/>
      <c r="F263" s="101"/>
    </row>
    <row r="264" spans="1:6">
      <c r="A264" s="4" t="s">
        <v>226</v>
      </c>
      <c r="B264" s="7"/>
      <c r="C264" s="7"/>
      <c r="D264" s="101"/>
      <c r="E264" s="101"/>
      <c r="F264" s="101"/>
    </row>
    <row r="265" ht="11.25" customHeight="1" spans="1:6">
      <c r="A265" s="7"/>
      <c r="B265" s="7"/>
      <c r="C265" s="7"/>
      <c r="D265" s="101"/>
      <c r="E265" s="101"/>
      <c r="F265" s="101"/>
    </row>
    <row r="266" spans="1:6">
      <c r="A266" s="121" t="s">
        <v>25</v>
      </c>
      <c r="B266" s="121" t="s">
        <v>26</v>
      </c>
      <c r="C266" s="121" t="s">
        <v>19</v>
      </c>
      <c r="D266" s="122" t="s">
        <v>27</v>
      </c>
      <c r="E266" s="122" t="s">
        <v>28</v>
      </c>
      <c r="F266" s="122" t="s">
        <v>29</v>
      </c>
    </row>
    <row r="267" spans="1:6">
      <c r="A267" s="7" t="s">
        <v>179</v>
      </c>
      <c r="B267" s="123" t="s">
        <v>5</v>
      </c>
      <c r="C267" s="128">
        <f>'7.BDI'!C18*100</f>
        <v>27.01</v>
      </c>
      <c r="D267" s="125">
        <f>+F262</f>
        <v>13717.2707171417</v>
      </c>
      <c r="E267" s="125">
        <f>C267*D267/100</f>
        <v>3705.03482069996</v>
      </c>
      <c r="F267" s="101"/>
    </row>
    <row r="268" spans="1:6">
      <c r="A268" s="7"/>
      <c r="B268" s="7"/>
      <c r="C268" s="7"/>
      <c r="D268" s="101"/>
      <c r="E268" s="101"/>
      <c r="F268" s="129">
        <f>+E267</f>
        <v>3705.03482069996</v>
      </c>
    </row>
    <row r="269" ht="11.25" customHeight="1" spans="1:6">
      <c r="A269" s="7"/>
      <c r="B269" s="7"/>
      <c r="C269" s="7"/>
      <c r="D269" s="101"/>
      <c r="E269" s="101"/>
      <c r="F269" s="101"/>
    </row>
    <row r="270" spans="1:6">
      <c r="A270" s="4" t="s">
        <v>180</v>
      </c>
      <c r="B270" s="7"/>
      <c r="C270" s="7"/>
      <c r="D270" s="101"/>
      <c r="E270" s="101"/>
      <c r="F270" s="127">
        <f>F268</f>
        <v>3705.03482069996</v>
      </c>
    </row>
    <row r="271" spans="1:6">
      <c r="A271" s="4"/>
      <c r="B271" s="4"/>
      <c r="C271" s="4"/>
      <c r="D271" s="111"/>
      <c r="E271" s="111"/>
      <c r="F271" s="130"/>
    </row>
    <row r="272" ht="11.25" customHeight="1" spans="1:6">
      <c r="A272" s="7"/>
      <c r="B272" s="7"/>
      <c r="C272" s="7"/>
      <c r="D272" s="101"/>
      <c r="E272" s="101"/>
      <c r="F272" s="101"/>
    </row>
    <row r="273" ht="24.75" customHeight="1" spans="1:6">
      <c r="A273" s="4" t="s">
        <v>181</v>
      </c>
      <c r="B273" s="7"/>
      <c r="C273" s="7"/>
      <c r="D273" s="101"/>
      <c r="E273" s="101"/>
      <c r="F273" s="127">
        <f>F262+F270</f>
        <v>17422.3055378416</v>
      </c>
    </row>
    <row r="274" ht="12.6" customHeight="1" spans="1:6">
      <c r="A274" s="131"/>
      <c r="B274" s="131"/>
      <c r="C274" s="131"/>
      <c r="D274" s="132"/>
      <c r="E274" s="132"/>
      <c r="F274" s="132"/>
    </row>
    <row r="275" ht="12.6" customHeight="1" spans="1:6">
      <c r="A275" s="133"/>
      <c r="B275" s="133"/>
      <c r="C275" s="133"/>
      <c r="D275" s="134"/>
      <c r="E275" s="134"/>
      <c r="F275" s="134"/>
    </row>
    <row r="276" s="95" customFormat="1" ht="9.75" customHeight="1" spans="1:7">
      <c r="A276" s="135"/>
      <c r="B276" s="100"/>
      <c r="C276" s="100"/>
      <c r="D276" s="100"/>
      <c r="E276" s="100"/>
      <c r="F276" s="100"/>
      <c r="G276" s="100"/>
    </row>
    <row r="277" s="95" customFormat="1" ht="9.75" customHeight="1" spans="1:7">
      <c r="A277" s="135"/>
      <c r="B277" s="100"/>
      <c r="C277" s="100"/>
      <c r="D277" s="100"/>
      <c r="E277" s="100"/>
      <c r="F277" s="100"/>
      <c r="G277" s="100"/>
    </row>
    <row r="278" s="95" customFormat="1" ht="9.75" customHeight="1" spans="1:7">
      <c r="A278" s="135"/>
      <c r="B278" s="100"/>
      <c r="C278" s="100"/>
      <c r="D278" s="100"/>
      <c r="E278" s="100"/>
      <c r="F278" s="100"/>
      <c r="G278" s="100"/>
    </row>
    <row r="308" ht="9" customHeight="1" spans="4:7">
      <c r="D308" s="99"/>
      <c r="E308" s="99"/>
      <c r="F308" s="99"/>
      <c r="G308" s="99"/>
    </row>
  </sheetData>
  <mergeCells count="7">
    <mergeCell ref="A8:F8"/>
    <mergeCell ref="A9:F9"/>
    <mergeCell ref="A11:F11"/>
    <mergeCell ref="A21:C21"/>
    <mergeCell ref="A39:E39"/>
    <mergeCell ref="A40:D40"/>
    <mergeCell ref="A45:D45"/>
  </mergeCells>
  <hyperlinks>
    <hyperlink ref="A166" location="AbaRemun" display="3.1.2. Remuneração do Capital"/>
    <hyperlink ref="A155" location="AbaDeprec" display="3.1.1. Depreciação"/>
    <hyperlink ref="A219" location="AbaDeprec" display="3.2.1. Depreciação"/>
    <hyperlink ref="A230" location="AbaRemun" display="3.2.2. Remuneração do Capital"/>
  </hyperlinks>
  <pageMargins left="0.905511811023622" right="0.511811023622047" top="0.748031496062992" bottom="0.748031496062992" header="0.31496062992126" footer="0.31496062992126"/>
  <pageSetup paperSize="9" fitToHeight="0" orientation="landscape"/>
  <headerFooter alignWithMargins="0">
    <oddFooter>&amp;R&amp;P de &amp;N</oddFooter>
  </headerFooter>
  <rowBreaks count="4" manualBreakCount="4">
    <brk id="51" max="5" man="1"/>
    <brk id="82" max="5" man="1"/>
    <brk id="150" max="5" man="1"/>
    <brk id="207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2"/>
  <sheetViews>
    <sheetView view="pageBreakPreview" zoomScaleNormal="100" topLeftCell="A72" workbookViewId="0">
      <selection activeCell="D49" sqref="D49"/>
    </sheetView>
  </sheetViews>
  <sheetFormatPr defaultColWidth="9" defaultRowHeight="13.2"/>
  <cols>
    <col min="1" max="1" width="47.8888888888889" style="99" customWidth="1"/>
    <col min="2" max="2" width="16" style="99" customWidth="1"/>
    <col min="3" max="3" width="11.8518518518519" style="99" customWidth="1"/>
    <col min="4" max="4" width="14.712962962963" style="100" customWidth="1"/>
    <col min="5" max="5" width="15.4259259259259" style="100" customWidth="1"/>
    <col min="6" max="6" width="13.287037037037" style="100" customWidth="1"/>
    <col min="7" max="7" width="28.1388888888889" style="100" customWidth="1"/>
    <col min="8" max="8" width="9.13888888888889" style="99"/>
    <col min="9" max="9" width="14.5740740740741" style="99" customWidth="1"/>
    <col min="10" max="10" width="13.4259259259259" style="99" customWidth="1"/>
    <col min="11" max="16383" width="9.13888888888889" style="99"/>
    <col min="16384" max="16384" width="9.13888888888889"/>
  </cols>
  <sheetData>
    <row r="1" spans="1:6">
      <c r="A1" s="4" t="s">
        <v>11</v>
      </c>
      <c r="B1" s="7"/>
      <c r="C1" s="7"/>
      <c r="D1" s="101"/>
      <c r="E1" s="101"/>
      <c r="F1" s="101"/>
    </row>
    <row r="2" spans="1:6">
      <c r="A2" s="6" t="s">
        <v>12</v>
      </c>
      <c r="B2" s="7"/>
      <c r="C2" s="7"/>
      <c r="D2" s="101"/>
      <c r="E2" s="101"/>
      <c r="F2" s="101"/>
    </row>
    <row r="3" s="95" customFormat="1" ht="15.6" customHeight="1" spans="1:7">
      <c r="A3" s="7" t="s">
        <v>13</v>
      </c>
      <c r="B3" s="102"/>
      <c r="C3" s="103"/>
      <c r="D3" s="103"/>
      <c r="E3" s="103"/>
      <c r="F3" s="103"/>
      <c r="G3" s="100"/>
    </row>
    <row r="4" s="95" customFormat="1" ht="15.6" customHeight="1" spans="1:7">
      <c r="A4" s="6" t="s">
        <v>14</v>
      </c>
      <c r="B4" s="103"/>
      <c r="C4" s="103"/>
      <c r="D4" s="103"/>
      <c r="E4" s="103"/>
      <c r="F4" s="103"/>
      <c r="G4" s="100"/>
    </row>
    <row r="5" s="95" customFormat="1" ht="15.6" customHeight="1" spans="1:7">
      <c r="A5" s="7"/>
      <c r="B5" s="103"/>
      <c r="C5" s="103"/>
      <c r="D5" s="103"/>
      <c r="E5" s="103"/>
      <c r="F5" s="103"/>
      <c r="G5" s="100"/>
    </row>
    <row r="6" s="95" customFormat="1" ht="15.6" customHeight="1" spans="1:7">
      <c r="A6" s="7"/>
      <c r="B6" s="103"/>
      <c r="C6" s="103"/>
      <c r="D6" s="103"/>
      <c r="E6" s="103"/>
      <c r="F6" s="103"/>
      <c r="G6" s="100"/>
    </row>
    <row r="7" s="95" customFormat="1" ht="16.5" customHeight="1" spans="1:7">
      <c r="A7" s="7"/>
      <c r="B7" s="103"/>
      <c r="C7" s="103"/>
      <c r="D7" s="101"/>
      <c r="E7" s="101"/>
      <c r="F7" s="101"/>
      <c r="G7" s="100"/>
    </row>
    <row r="8" s="96" customFormat="1" ht="17.4" spans="1:7">
      <c r="A8" s="61" t="s">
        <v>0</v>
      </c>
      <c r="B8" s="61"/>
      <c r="C8" s="61"/>
      <c r="D8" s="61"/>
      <c r="E8" s="61"/>
      <c r="F8" s="61"/>
      <c r="G8" s="104"/>
    </row>
    <row r="9" s="96" customFormat="1" ht="21.75" customHeight="1" spans="1:7">
      <c r="A9" s="105" t="s">
        <v>227</v>
      </c>
      <c r="B9" s="105"/>
      <c r="C9" s="105"/>
      <c r="D9" s="105"/>
      <c r="E9" s="105"/>
      <c r="F9" s="105"/>
      <c r="G9" s="104"/>
    </row>
    <row r="10" s="95" customFormat="1" ht="10.9" customHeight="1" spans="1:7">
      <c r="A10" s="106"/>
      <c r="B10" s="107"/>
      <c r="C10" s="107"/>
      <c r="D10" s="108"/>
      <c r="E10" s="108"/>
      <c r="F10" s="108"/>
      <c r="G10" s="100"/>
    </row>
    <row r="11" s="95" customFormat="1" ht="15.75" customHeight="1" spans="1:7">
      <c r="A11" s="109" t="s">
        <v>2</v>
      </c>
      <c r="B11" s="109"/>
      <c r="C11" s="109"/>
      <c r="D11" s="109"/>
      <c r="E11" s="109"/>
      <c r="F11" s="109"/>
      <c r="G11" s="100"/>
    </row>
    <row r="12" s="95" customFormat="1" ht="15.75" customHeight="1" spans="1:7">
      <c r="A12" s="110" t="s">
        <v>3</v>
      </c>
      <c r="B12" s="101"/>
      <c r="C12" s="101"/>
      <c r="D12" s="111"/>
      <c r="E12" s="111" t="s">
        <v>4</v>
      </c>
      <c r="F12" s="110" t="s">
        <v>5</v>
      </c>
      <c r="G12" s="100"/>
    </row>
    <row r="13" s="97" customFormat="1" ht="15.75" customHeight="1" spans="1:7">
      <c r="A13" s="111" t="str">
        <f>A45</f>
        <v>1. Mão-de-obra</v>
      </c>
      <c r="B13" s="112"/>
      <c r="C13" s="111"/>
      <c r="D13" s="111"/>
      <c r="E13" s="113">
        <f>+F85</f>
        <v>1307.88972</v>
      </c>
      <c r="F13" s="114">
        <f>IFERROR(E13/$E$30,0)</f>
        <v>0.167412119509464</v>
      </c>
      <c r="G13" s="115"/>
    </row>
    <row r="14" s="95" customFormat="1" ht="15.75" customHeight="1" spans="1:7">
      <c r="A14" s="101" t="str">
        <f>A47</f>
        <v>1.1. Motorista de bitrem turno do dia</v>
      </c>
      <c r="B14" s="136"/>
      <c r="C14" s="101"/>
      <c r="D14" s="101"/>
      <c r="E14" s="137">
        <f>F60</f>
        <v>1111.32252</v>
      </c>
      <c r="F14" s="138">
        <f>IFERROR(E14/$E$30,0)</f>
        <v>0.142251181951181</v>
      </c>
      <c r="G14" s="100"/>
    </row>
    <row r="15" s="95" customFormat="1" ht="15.75" customHeight="1" spans="1:7">
      <c r="A15" s="101" t="str">
        <f>A63</f>
        <v>1.2. Vale Transporte</v>
      </c>
      <c r="B15" s="136"/>
      <c r="C15" s="101"/>
      <c r="D15" s="101"/>
      <c r="E15" s="137">
        <f>F68</f>
        <v>44.9064</v>
      </c>
      <c r="F15" s="138">
        <f>IFERROR(E15/$E$30,0)</f>
        <v>0.0057480959507349</v>
      </c>
      <c r="G15" s="100"/>
    </row>
    <row r="16" s="95" customFormat="1" ht="15.75" customHeight="1" spans="1:7">
      <c r="A16" s="101" t="str">
        <f>A70</f>
        <v>1.3. Vale-refeição (diário)</v>
      </c>
      <c r="B16" s="136"/>
      <c r="C16" s="101"/>
      <c r="D16" s="101"/>
      <c r="E16" s="137">
        <f>F73</f>
        <v>90.4932</v>
      </c>
      <c r="F16" s="138">
        <f>IFERROR(E16/$E$30,0)</f>
        <v>0.0115832842643597</v>
      </c>
      <c r="G16" s="100"/>
    </row>
    <row r="17" s="95" customFormat="1" ht="15.75" customHeight="1" spans="1:7">
      <c r="A17" s="101" t="str">
        <f>A75</f>
        <v>1.4. Auxílio Alimentação (mensal)</v>
      </c>
      <c r="B17" s="136"/>
      <c r="C17" s="101"/>
      <c r="D17" s="101"/>
      <c r="E17" s="137">
        <f>F78</f>
        <v>20.1276</v>
      </c>
      <c r="F17" s="138">
        <f>IFERROR(E17/$E$30,0)</f>
        <v>0.002576367200622</v>
      </c>
      <c r="G17" s="100"/>
    </row>
    <row r="18" s="97" customFormat="1" ht="15.75" customHeight="1" spans="1:7">
      <c r="A18" s="139" t="str">
        <f>A80</f>
        <v>1.5. Outros benefícios (mensal) de acordo com disposto em convenção coletiva</v>
      </c>
      <c r="B18" s="139"/>
      <c r="C18" s="139"/>
      <c r="D18" s="101"/>
      <c r="E18" s="140">
        <f>F83</f>
        <v>41.04</v>
      </c>
      <c r="F18" s="138">
        <f t="shared" ref="F18:F33" si="0">IFERROR(E18/$E$30,0)</f>
        <v>0.00525319014256677</v>
      </c>
      <c r="G18" s="115"/>
    </row>
    <row r="19" s="97" customFormat="1" ht="15.75" customHeight="1" spans="1:7">
      <c r="A19" s="116" t="str">
        <f>A87</f>
        <v>2. Uniformes e Equipamentos de Proteção Individual</v>
      </c>
      <c r="B19" s="116"/>
      <c r="C19" s="116"/>
      <c r="D19" s="111"/>
      <c r="E19" s="113">
        <f>F103</f>
        <v>28.1964</v>
      </c>
      <c r="F19" s="114">
        <f t="shared" si="0"/>
        <v>0.0036091873912249</v>
      </c>
      <c r="G19" s="115"/>
    </row>
    <row r="20" s="97" customFormat="1" ht="15.75" customHeight="1" spans="1:7">
      <c r="A20" s="116" t="str">
        <f>A105</f>
        <v>3. Veículos, Equipamentos e Imóveis</v>
      </c>
      <c r="B20" s="117"/>
      <c r="C20" s="111"/>
      <c r="D20" s="111"/>
      <c r="E20" s="113">
        <f>+F182</f>
        <v>4795.96086364875</v>
      </c>
      <c r="F20" s="114">
        <f t="shared" si="0"/>
        <v>0.613891187452623</v>
      </c>
      <c r="G20" s="115"/>
    </row>
    <row r="21" s="95" customFormat="1" ht="15.75" customHeight="1" spans="1:7">
      <c r="A21" s="139" t="str">
        <f>A107</f>
        <v>3.1. Veículo Carreta com roll On e Roll Off</v>
      </c>
      <c r="B21" s="141"/>
      <c r="C21" s="101"/>
      <c r="D21" s="101"/>
      <c r="E21" s="137">
        <f>SUM(E22:E27)</f>
        <v>4795.96086364875</v>
      </c>
      <c r="F21" s="138">
        <f t="shared" si="0"/>
        <v>0.613891187452623</v>
      </c>
      <c r="G21" s="100"/>
    </row>
    <row r="22" s="95" customFormat="1" ht="15.75" customHeight="1" spans="1:7">
      <c r="A22" s="139" t="str">
        <f>A109</f>
        <v>3.1.1. Depreciação</v>
      </c>
      <c r="B22" s="141"/>
      <c r="C22" s="101"/>
      <c r="D22" s="101"/>
      <c r="E22" s="137">
        <f>F123</f>
        <v>1027.8110358</v>
      </c>
      <c r="F22" s="138">
        <f t="shared" si="0"/>
        <v>0.131561569241859</v>
      </c>
      <c r="G22" s="100"/>
    </row>
    <row r="23" s="95" customFormat="1" ht="15.75" customHeight="1" spans="1:7">
      <c r="A23" s="139" t="str">
        <f>A125</f>
        <v>3.1.2. Remuneração do Capital</v>
      </c>
      <c r="B23" s="141"/>
      <c r="C23" s="101"/>
      <c r="D23" s="101"/>
      <c r="E23" s="137">
        <f>F138</f>
        <v>1313.62107784875</v>
      </c>
      <c r="F23" s="138">
        <f t="shared" si="0"/>
        <v>0.168145743109722</v>
      </c>
      <c r="G23" s="100"/>
    </row>
    <row r="24" s="95" customFormat="1" ht="15.75" customHeight="1" spans="1:7">
      <c r="A24" s="139" t="str">
        <f>A140</f>
        <v>3.1.3. Impostos e Seguros</v>
      </c>
      <c r="B24" s="141"/>
      <c r="C24" s="101"/>
      <c r="D24" s="101"/>
      <c r="E24" s="137">
        <f>F146</f>
        <v>213.64875</v>
      </c>
      <c r="F24" s="138">
        <f t="shared" si="0"/>
        <v>0.0273474051528195</v>
      </c>
      <c r="G24" s="100"/>
    </row>
    <row r="25" s="95" customFormat="1" ht="15.75" customHeight="1" spans="1:7">
      <c r="A25" s="139" t="str">
        <f>A148</f>
        <v>3.1.4. Consumos</v>
      </c>
      <c r="B25" s="141"/>
      <c r="C25" s="101"/>
      <c r="D25" s="101"/>
      <c r="E25" s="137">
        <f>F166</f>
        <v>1522.56</v>
      </c>
      <c r="F25" s="138">
        <f t="shared" si="0"/>
        <v>0.194890282248208</v>
      </c>
      <c r="G25" s="100"/>
    </row>
    <row r="26" s="95" customFormat="1" ht="15.75" customHeight="1" spans="1:7">
      <c r="A26" s="139" t="str">
        <f>A168</f>
        <v>3.1.5. Manutenção</v>
      </c>
      <c r="B26" s="141"/>
      <c r="C26" s="101"/>
      <c r="D26" s="101"/>
      <c r="E26" s="137">
        <f>F171</f>
        <v>576</v>
      </c>
      <c r="F26" s="138">
        <f t="shared" si="0"/>
        <v>0.0737289844570775</v>
      </c>
      <c r="G26" s="100"/>
    </row>
    <row r="27" s="95" customFormat="1" ht="15.75" customHeight="1" spans="1:7">
      <c r="A27" s="139" t="str">
        <f>A173</f>
        <v>3.1.6. Pneus</v>
      </c>
      <c r="B27" s="141"/>
      <c r="C27" s="101"/>
      <c r="D27" s="101"/>
      <c r="E27" s="137">
        <f>F180</f>
        <v>142.32</v>
      </c>
      <c r="F27" s="138">
        <f t="shared" si="0"/>
        <v>0.0182172032429362</v>
      </c>
      <c r="G27" s="100"/>
    </row>
    <row r="28" s="97" customFormat="1" ht="15.75" customHeight="1" spans="1:7">
      <c r="A28" s="116" t="str">
        <f>A184</f>
        <v>4. Ferramentas e Materiais de Consumo</v>
      </c>
      <c r="B28" s="117"/>
      <c r="C28" s="111"/>
      <c r="D28" s="111"/>
      <c r="E28" s="113">
        <f>+F203</f>
        <v>18.96135</v>
      </c>
      <c r="F28" s="114">
        <f t="shared" si="0"/>
        <v>0.00242708520735279</v>
      </c>
      <c r="G28" s="115"/>
    </row>
    <row r="29" s="97" customFormat="1" ht="15.75" customHeight="1" spans="1:7">
      <c r="A29" s="116" t="str">
        <f>A208</f>
        <v>5. Benefícios e Despesas Indiretas - BDI</v>
      </c>
      <c r="B29" s="117"/>
      <c r="C29" s="111"/>
      <c r="D29" s="111"/>
      <c r="E29" s="113">
        <f>+F214</f>
        <v>1661.38735091853</v>
      </c>
      <c r="F29" s="114">
        <f t="shared" si="0"/>
        <v>0.212660420439336</v>
      </c>
      <c r="G29" s="115"/>
    </row>
    <row r="30" s="95" customFormat="1" ht="15.75" customHeight="1" spans="1:7">
      <c r="A30" s="116" t="s">
        <v>189</v>
      </c>
      <c r="B30" s="117"/>
      <c r="C30" s="111"/>
      <c r="D30" s="111"/>
      <c r="E30" s="118">
        <f>F217</f>
        <v>7812.39568456728</v>
      </c>
      <c r="F30" s="119">
        <f>F13+F19+F20+F28+F29</f>
        <v>1</v>
      </c>
      <c r="G30" s="100"/>
    </row>
    <row r="31" spans="1:6">
      <c r="A31" s="7"/>
      <c r="B31" s="7"/>
      <c r="C31" s="7"/>
      <c r="D31" s="101"/>
      <c r="E31" s="101"/>
      <c r="F31" s="101"/>
    </row>
    <row r="32" spans="1:6">
      <c r="A32" s="7"/>
      <c r="B32" s="7"/>
      <c r="C32" s="7"/>
      <c r="D32" s="101"/>
      <c r="E32" s="101"/>
      <c r="F32" s="101"/>
    </row>
    <row r="33" s="95" customFormat="1" ht="15" customHeight="1" spans="1:7">
      <c r="A33" s="109" t="s">
        <v>17</v>
      </c>
      <c r="B33" s="109"/>
      <c r="C33" s="109"/>
      <c r="D33" s="109"/>
      <c r="E33" s="109"/>
      <c r="F33" s="101"/>
      <c r="G33" s="100"/>
    </row>
    <row r="34" s="95" customFormat="1" ht="15" customHeight="1" spans="1:7">
      <c r="A34" s="110" t="s">
        <v>18</v>
      </c>
      <c r="B34" s="110"/>
      <c r="C34" s="110"/>
      <c r="D34" s="110"/>
      <c r="E34" s="142" t="s">
        <v>19</v>
      </c>
      <c r="F34" s="101"/>
      <c r="G34" s="100"/>
    </row>
    <row r="35" s="95" customFormat="1" ht="15" customHeight="1" spans="1:7">
      <c r="A35" s="101" t="str">
        <f>A47</f>
        <v>1.1. Motorista de bitrem turno do dia</v>
      </c>
      <c r="B35" s="101"/>
      <c r="C35" s="101"/>
      <c r="D35" s="102"/>
      <c r="E35" s="143">
        <v>1</v>
      </c>
      <c r="F35" s="101"/>
      <c r="G35" s="100"/>
    </row>
    <row r="36" s="95" customFormat="1" ht="15" customHeight="1" spans="1:7">
      <c r="A36" s="111" t="s">
        <v>20</v>
      </c>
      <c r="B36" s="144"/>
      <c r="C36" s="144"/>
      <c r="D36" s="102"/>
      <c r="E36" s="145">
        <f>E35</f>
        <v>1</v>
      </c>
      <c r="F36" s="101"/>
      <c r="G36" s="100"/>
    </row>
    <row r="37" s="95" customFormat="1" ht="15" customHeight="1" spans="1:7">
      <c r="A37" s="111"/>
      <c r="B37" s="144"/>
      <c r="C37" s="101"/>
      <c r="D37" s="101"/>
      <c r="E37" s="101"/>
      <c r="F37" s="101"/>
      <c r="G37" s="100"/>
    </row>
    <row r="38" s="95" customFormat="1" ht="15" customHeight="1" spans="1:7">
      <c r="A38" s="146" t="s">
        <v>21</v>
      </c>
      <c r="B38" s="146"/>
      <c r="C38" s="146"/>
      <c r="D38" s="146"/>
      <c r="E38" s="142" t="s">
        <v>19</v>
      </c>
      <c r="F38" s="7"/>
      <c r="G38" s="100"/>
    </row>
    <row r="39" s="95" customFormat="1" ht="15" customHeight="1" spans="1:7">
      <c r="A39" s="101" t="str">
        <f>+A107</f>
        <v>3.1. Veículo Carreta com roll On e Roll Off</v>
      </c>
      <c r="B39" s="101"/>
      <c r="C39" s="101"/>
      <c r="D39" s="7"/>
      <c r="E39" s="143">
        <f>C122</f>
        <v>1</v>
      </c>
      <c r="F39" s="7"/>
      <c r="G39" s="100"/>
    </row>
    <row r="40" s="95" customFormat="1" ht="15" customHeight="1" spans="1:7">
      <c r="A40" s="101"/>
      <c r="B40" s="101"/>
      <c r="C40" s="101"/>
      <c r="D40" s="7"/>
      <c r="E40" s="143"/>
      <c r="F40" s="7"/>
      <c r="G40" s="100"/>
    </row>
    <row r="41" s="95" customFormat="1" ht="15" customHeight="1" spans="1:7">
      <c r="A41" s="101"/>
      <c r="B41" s="101"/>
      <c r="C41" s="101"/>
      <c r="D41" s="7"/>
      <c r="E41" s="143"/>
      <c r="F41" s="7"/>
      <c r="G41" s="100"/>
    </row>
    <row r="42" s="95" customFormat="1" spans="1:7">
      <c r="A42" s="101"/>
      <c r="B42" s="101"/>
      <c r="C42" s="101"/>
      <c r="D42" s="7"/>
      <c r="E42" s="120"/>
      <c r="F42" s="7"/>
      <c r="G42" s="100"/>
    </row>
    <row r="43" s="97" customFormat="1" ht="15.75" customHeight="1" spans="1:7">
      <c r="A43" s="111" t="s">
        <v>22</v>
      </c>
      <c r="B43" s="147">
        <v>0.18</v>
      </c>
      <c r="C43" s="111"/>
      <c r="D43" s="4"/>
      <c r="E43" s="148"/>
      <c r="F43" s="4"/>
      <c r="G43" s="115"/>
    </row>
    <row r="44" s="95" customFormat="1" ht="15.75" customHeight="1" spans="1:7">
      <c r="A44" s="101"/>
      <c r="B44" s="101"/>
      <c r="C44" s="101"/>
      <c r="D44" s="7"/>
      <c r="E44" s="120"/>
      <c r="F44" s="7"/>
      <c r="G44" s="100"/>
    </row>
    <row r="45" ht="13.15" customHeight="1" spans="1:6">
      <c r="A45" s="4" t="s">
        <v>23</v>
      </c>
      <c r="B45" s="7"/>
      <c r="C45" s="7"/>
      <c r="D45" s="101"/>
      <c r="E45" s="101"/>
      <c r="F45" s="101"/>
    </row>
    <row r="46" ht="11.25" customHeight="1" spans="1:6">
      <c r="A46" s="7"/>
      <c r="B46" s="7"/>
      <c r="C46" s="7"/>
      <c r="D46" s="101"/>
      <c r="E46" s="101"/>
      <c r="F46" s="101"/>
    </row>
    <row r="47" spans="1:6">
      <c r="A47" s="7" t="s">
        <v>228</v>
      </c>
      <c r="B47" s="7"/>
      <c r="C47" s="7"/>
      <c r="D47" s="101"/>
      <c r="E47" s="101"/>
      <c r="F47" s="101"/>
    </row>
    <row r="48" s="98" customFormat="1" ht="13.15" customHeight="1" spans="1:7">
      <c r="A48" s="121" t="s">
        <v>25</v>
      </c>
      <c r="B48" s="121" t="s">
        <v>26</v>
      </c>
      <c r="C48" s="121" t="s">
        <v>19</v>
      </c>
      <c r="D48" s="122" t="s">
        <v>27</v>
      </c>
      <c r="E48" s="122" t="s">
        <v>28</v>
      </c>
      <c r="F48" s="122" t="s">
        <v>29</v>
      </c>
      <c r="G48" s="100"/>
    </row>
    <row r="49" spans="1:6">
      <c r="A49" s="7" t="s">
        <v>30</v>
      </c>
      <c r="B49" s="123" t="s">
        <v>31</v>
      </c>
      <c r="C49" s="123">
        <v>1</v>
      </c>
      <c r="D49" s="124">
        <v>2585</v>
      </c>
      <c r="E49" s="125">
        <f t="shared" ref="E49:E52" si="1">C49*D49</f>
        <v>2585</v>
      </c>
      <c r="F49" s="101"/>
    </row>
    <row r="50" spans="1:6">
      <c r="A50" s="7" t="s">
        <v>61</v>
      </c>
      <c r="B50" s="123" t="s">
        <v>31</v>
      </c>
      <c r="C50" s="123">
        <v>1</v>
      </c>
      <c r="D50" s="149">
        <v>1302</v>
      </c>
      <c r="E50" s="125"/>
      <c r="F50" s="101"/>
    </row>
    <row r="51" spans="1:7">
      <c r="A51" s="7" t="s">
        <v>32</v>
      </c>
      <c r="B51" s="123" t="s">
        <v>33</v>
      </c>
      <c r="C51" s="150"/>
      <c r="D51" s="125">
        <f>D49/220*2</f>
        <v>23.5</v>
      </c>
      <c r="E51" s="125">
        <f t="shared" si="1"/>
        <v>0</v>
      </c>
      <c r="F51" s="101"/>
      <c r="G51" s="100" t="s">
        <v>34</v>
      </c>
    </row>
    <row r="52" spans="1:7">
      <c r="A52" s="7" t="s">
        <v>35</v>
      </c>
      <c r="B52" s="123" t="s">
        <v>33</v>
      </c>
      <c r="C52" s="150"/>
      <c r="D52" s="125">
        <f>D49/220*1.5</f>
        <v>17.625</v>
      </c>
      <c r="E52" s="125">
        <f t="shared" si="1"/>
        <v>0</v>
      </c>
      <c r="F52" s="101"/>
      <c r="G52" s="100" t="s">
        <v>36</v>
      </c>
    </row>
    <row r="53" ht="13.15" customHeight="1" spans="1:7">
      <c r="A53" s="7" t="s">
        <v>37</v>
      </c>
      <c r="B53" s="123" t="s">
        <v>38</v>
      </c>
      <c r="C53" s="7"/>
      <c r="D53" s="125">
        <f>63/302*(SUM(E51:E52))</f>
        <v>0</v>
      </c>
      <c r="E53" s="125">
        <f>D53</f>
        <v>0</v>
      </c>
      <c r="F53" s="101"/>
      <c r="G53" s="100" t="s">
        <v>39</v>
      </c>
    </row>
    <row r="54" spans="1:6">
      <c r="A54" s="7" t="s">
        <v>58</v>
      </c>
      <c r="B54" s="123"/>
      <c r="C54" s="151">
        <v>2</v>
      </c>
      <c r="D54" s="125"/>
      <c r="E54" s="125"/>
      <c r="F54" s="101"/>
    </row>
    <row r="55" spans="1:6">
      <c r="A55" s="7" t="s">
        <v>40</v>
      </c>
      <c r="B55" s="123" t="s">
        <v>5</v>
      </c>
      <c r="C55" s="152">
        <v>40</v>
      </c>
      <c r="D55" s="153">
        <f>IF(C54=2,SUM(E49:E53),IF(C54=1,(SUM(E49:E53))*D50/D49,0))</f>
        <v>2585</v>
      </c>
      <c r="E55" s="125">
        <f>C55*D55/100</f>
        <v>1034</v>
      </c>
      <c r="F55" s="101"/>
    </row>
    <row r="56" s="97" customFormat="1" spans="1:7">
      <c r="A56" s="4" t="s">
        <v>41</v>
      </c>
      <c r="B56" s="146"/>
      <c r="C56" s="146"/>
      <c r="D56" s="110"/>
      <c r="E56" s="110">
        <f>SUM(E49:E55)</f>
        <v>3619</v>
      </c>
      <c r="F56" s="111"/>
      <c r="G56" s="115"/>
    </row>
    <row r="57" spans="1:6">
      <c r="A57" s="7" t="s">
        <v>42</v>
      </c>
      <c r="B57" s="123" t="s">
        <v>5</v>
      </c>
      <c r="C57" s="128">
        <v>70.6</v>
      </c>
      <c r="D57" s="125">
        <f>E56</f>
        <v>3619</v>
      </c>
      <c r="E57" s="125">
        <f>D57*C57/100</f>
        <v>2555.014</v>
      </c>
      <c r="F57" s="101"/>
    </row>
    <row r="58" s="97" customFormat="1" spans="1:7">
      <c r="A58" s="4" t="s">
        <v>59</v>
      </c>
      <c r="B58" s="146"/>
      <c r="C58" s="146"/>
      <c r="D58" s="110"/>
      <c r="E58" s="110">
        <f>E56+E57</f>
        <v>6174.014</v>
      </c>
      <c r="F58" s="111"/>
      <c r="G58" s="115"/>
    </row>
    <row r="59" spans="1:6">
      <c r="A59" s="7" t="s">
        <v>44</v>
      </c>
      <c r="B59" s="123" t="s">
        <v>45</v>
      </c>
      <c r="C59" s="152">
        <v>1</v>
      </c>
      <c r="D59" s="125">
        <f>E58</f>
        <v>6174.014</v>
      </c>
      <c r="E59" s="125">
        <f>C59*D59</f>
        <v>6174.014</v>
      </c>
      <c r="F59" s="101"/>
    </row>
    <row r="60" spans="1:6">
      <c r="A60" s="7"/>
      <c r="B60" s="7"/>
      <c r="C60" s="7"/>
      <c r="D60" s="154" t="s">
        <v>46</v>
      </c>
      <c r="E60" s="101">
        <v>0.18</v>
      </c>
      <c r="F60" s="129">
        <f>E59*E60</f>
        <v>1111.32252</v>
      </c>
    </row>
    <row r="61" ht="11.25" customHeight="1" spans="1:6">
      <c r="A61" s="7"/>
      <c r="B61" s="7"/>
      <c r="C61" s="7"/>
      <c r="D61" s="101"/>
      <c r="E61" s="101"/>
      <c r="F61" s="101"/>
    </row>
    <row r="62" ht="11.25" customHeight="1" spans="1:7">
      <c r="A62" s="7"/>
      <c r="B62" s="7"/>
      <c r="C62" s="7"/>
      <c r="D62" s="101"/>
      <c r="E62" s="101"/>
      <c r="F62" s="101"/>
      <c r="G62" s="99"/>
    </row>
    <row r="63" spans="1:7">
      <c r="A63" s="155" t="s">
        <v>229</v>
      </c>
      <c r="B63" s="156"/>
      <c r="C63" s="7"/>
      <c r="D63" s="7"/>
      <c r="E63" s="7"/>
      <c r="F63" s="101"/>
      <c r="G63" s="99"/>
    </row>
    <row r="64" spans="1:7">
      <c r="A64" s="121" t="s">
        <v>25</v>
      </c>
      <c r="B64" s="121" t="s">
        <v>26</v>
      </c>
      <c r="C64" s="121" t="s">
        <v>19</v>
      </c>
      <c r="D64" s="122" t="s">
        <v>27</v>
      </c>
      <c r="E64" s="122" t="s">
        <v>28</v>
      </c>
      <c r="F64" s="122" t="s">
        <v>29</v>
      </c>
      <c r="G64" s="99"/>
    </row>
    <row r="65" spans="1:7">
      <c r="A65" s="7" t="s">
        <v>63</v>
      </c>
      <c r="B65" s="123" t="s">
        <v>38</v>
      </c>
      <c r="C65" s="120">
        <v>1</v>
      </c>
      <c r="D65" s="157">
        <v>6</v>
      </c>
      <c r="E65" s="125"/>
      <c r="F65" s="101"/>
      <c r="G65" s="99"/>
    </row>
    <row r="66" spans="1:7">
      <c r="A66" s="7" t="s">
        <v>64</v>
      </c>
      <c r="B66" s="123" t="s">
        <v>65</v>
      </c>
      <c r="C66" s="158">
        <v>21</v>
      </c>
      <c r="D66" s="125"/>
      <c r="E66" s="125"/>
      <c r="F66" s="101"/>
      <c r="G66" s="99"/>
    </row>
    <row r="67" spans="1:7">
      <c r="A67" s="7" t="s">
        <v>230</v>
      </c>
      <c r="B67" s="123" t="s">
        <v>67</v>
      </c>
      <c r="C67" s="159">
        <f>C66*E35*2</f>
        <v>42</v>
      </c>
      <c r="D67" s="149">
        <f>D65-6%</f>
        <v>5.94</v>
      </c>
      <c r="E67" s="125">
        <f>IFERROR(C67*D67,"-")</f>
        <v>249.48</v>
      </c>
      <c r="F67" s="101"/>
      <c r="G67" s="99"/>
    </row>
    <row r="68" spans="1:7">
      <c r="A68" s="7"/>
      <c r="B68" s="7"/>
      <c r="C68" s="7"/>
      <c r="D68" s="154" t="s">
        <v>46</v>
      </c>
      <c r="E68" s="101">
        <v>0.18</v>
      </c>
      <c r="F68" s="127">
        <f>SUM(E67:E67)*E68</f>
        <v>44.9064</v>
      </c>
      <c r="G68" s="99"/>
    </row>
    <row r="69" ht="11.25" customHeight="1" spans="1:7">
      <c r="A69" s="7"/>
      <c r="B69" s="7"/>
      <c r="C69" s="7"/>
      <c r="D69" s="101"/>
      <c r="E69" s="101"/>
      <c r="F69" s="101"/>
      <c r="G69" s="99"/>
    </row>
    <row r="70" spans="1:7">
      <c r="A70" s="7" t="s">
        <v>231</v>
      </c>
      <c r="B70" s="7"/>
      <c r="C70" s="7"/>
      <c r="D70" s="101"/>
      <c r="E70" s="101"/>
      <c r="F70" s="160"/>
      <c r="G70" s="99"/>
    </row>
    <row r="71" spans="1:7">
      <c r="A71" s="121" t="s">
        <v>25</v>
      </c>
      <c r="B71" s="121" t="s">
        <v>26</v>
      </c>
      <c r="C71" s="121" t="s">
        <v>19</v>
      </c>
      <c r="D71" s="122" t="s">
        <v>27</v>
      </c>
      <c r="E71" s="122" t="s">
        <v>28</v>
      </c>
      <c r="F71" s="122" t="s">
        <v>29</v>
      </c>
      <c r="G71" s="99"/>
    </row>
    <row r="72" spans="1:7">
      <c r="A72" s="7" t="s">
        <v>232</v>
      </c>
      <c r="B72" s="123" t="s">
        <v>70</v>
      </c>
      <c r="C72" s="161">
        <f>C66*E35</f>
        <v>21</v>
      </c>
      <c r="D72" s="162">
        <v>23.94</v>
      </c>
      <c r="E72" s="101">
        <f>C72*D72</f>
        <v>502.74</v>
      </c>
      <c r="F72" s="160"/>
      <c r="G72" s="99"/>
    </row>
    <row r="73" spans="1:7">
      <c r="A73" s="7"/>
      <c r="B73" s="7"/>
      <c r="C73" s="7"/>
      <c r="D73" s="154" t="s">
        <v>46</v>
      </c>
      <c r="E73" s="101">
        <v>0.18</v>
      </c>
      <c r="F73" s="127">
        <f>SUM(E72:E72)*E73</f>
        <v>90.4932</v>
      </c>
      <c r="G73" s="99"/>
    </row>
    <row r="74" spans="1:7">
      <c r="A74" s="7"/>
      <c r="B74" s="7"/>
      <c r="C74" s="7"/>
      <c r="D74" s="101"/>
      <c r="E74" s="101"/>
      <c r="F74" s="101"/>
      <c r="G74" s="99"/>
    </row>
    <row r="75" spans="1:7">
      <c r="A75" s="7" t="s">
        <v>233</v>
      </c>
      <c r="B75" s="7"/>
      <c r="C75" s="7"/>
      <c r="D75" s="101"/>
      <c r="E75" s="101"/>
      <c r="F75" s="160"/>
      <c r="G75" s="99"/>
    </row>
    <row r="76" spans="1:7">
      <c r="A76" s="121" t="s">
        <v>25</v>
      </c>
      <c r="B76" s="121" t="s">
        <v>26</v>
      </c>
      <c r="C76" s="121" t="s">
        <v>19</v>
      </c>
      <c r="D76" s="122" t="s">
        <v>27</v>
      </c>
      <c r="E76" s="122" t="s">
        <v>28</v>
      </c>
      <c r="F76" s="122" t="s">
        <v>29</v>
      </c>
      <c r="G76" s="99"/>
    </row>
    <row r="77" spans="1:7">
      <c r="A77" s="7" t="str">
        <f>+A72</f>
        <v>Motorista de bitrem (almoço, conforme convenção coletiva)</v>
      </c>
      <c r="B77" s="123" t="s">
        <v>70</v>
      </c>
      <c r="C77" s="161">
        <f>E35</f>
        <v>1</v>
      </c>
      <c r="D77" s="163">
        <v>111.82</v>
      </c>
      <c r="E77" s="101">
        <f>C77*D77</f>
        <v>111.82</v>
      </c>
      <c r="F77" s="160"/>
      <c r="G77" s="99"/>
    </row>
    <row r="78" spans="1:7">
      <c r="A78" s="7"/>
      <c r="B78" s="7"/>
      <c r="C78" s="7"/>
      <c r="D78" s="154" t="s">
        <v>46</v>
      </c>
      <c r="E78" s="101">
        <v>0.18</v>
      </c>
      <c r="F78" s="127">
        <f>E77*E78</f>
        <v>20.1276</v>
      </c>
      <c r="G78" s="99"/>
    </row>
    <row r="79" spans="1:7">
      <c r="A79" s="7"/>
      <c r="B79" s="7"/>
      <c r="C79" s="7"/>
      <c r="D79" s="154"/>
      <c r="E79" s="101"/>
      <c r="F79" s="160"/>
      <c r="G79" s="99"/>
    </row>
    <row r="80" spans="1:7">
      <c r="A80" s="7" t="s">
        <v>234</v>
      </c>
      <c r="B80" s="7"/>
      <c r="C80" s="7"/>
      <c r="D80" s="101"/>
      <c r="E80" s="101"/>
      <c r="F80" s="160"/>
      <c r="G80" s="99"/>
    </row>
    <row r="81" spans="1:7">
      <c r="A81" s="121" t="s">
        <v>25</v>
      </c>
      <c r="B81" s="121" t="s">
        <v>26</v>
      </c>
      <c r="C81" s="121" t="s">
        <v>19</v>
      </c>
      <c r="D81" s="122" t="s">
        <v>27</v>
      </c>
      <c r="E81" s="122" t="s">
        <v>28</v>
      </c>
      <c r="F81" s="122" t="s">
        <v>29</v>
      </c>
      <c r="G81" s="99"/>
    </row>
    <row r="82" spans="1:7">
      <c r="A82" s="164" t="s">
        <v>76</v>
      </c>
      <c r="B82" s="123" t="s">
        <v>70</v>
      </c>
      <c r="C82" s="161">
        <v>1</v>
      </c>
      <c r="D82" s="163">
        <v>228</v>
      </c>
      <c r="E82" s="101">
        <f>C82*D82</f>
        <v>228</v>
      </c>
      <c r="F82" s="160"/>
      <c r="G82" s="99"/>
    </row>
    <row r="83" spans="1:7">
      <c r="A83" s="7"/>
      <c r="B83" s="7"/>
      <c r="C83" s="7"/>
      <c r="D83" s="154" t="s">
        <v>46</v>
      </c>
      <c r="E83" s="101">
        <v>0.18</v>
      </c>
      <c r="F83" s="127">
        <f>SUM(E82:E82)*E83</f>
        <v>41.04</v>
      </c>
      <c r="G83" s="99"/>
    </row>
    <row r="84" spans="1:7">
      <c r="A84" s="7"/>
      <c r="B84" s="7"/>
      <c r="C84" s="7"/>
      <c r="D84" s="101"/>
      <c r="E84" s="101"/>
      <c r="F84" s="101"/>
      <c r="G84" s="99"/>
    </row>
    <row r="85" spans="1:7">
      <c r="A85" s="4" t="s">
        <v>77</v>
      </c>
      <c r="B85" s="4"/>
      <c r="C85" s="4"/>
      <c r="D85" s="111"/>
      <c r="E85" s="111"/>
      <c r="F85" s="126">
        <f>F60+F68+F73+F78+F83</f>
        <v>1307.88972</v>
      </c>
      <c r="G85" s="99"/>
    </row>
    <row r="86" spans="1:6">
      <c r="A86" s="7"/>
      <c r="B86" s="7"/>
      <c r="C86" s="7"/>
      <c r="D86" s="101"/>
      <c r="E86" s="101"/>
      <c r="F86" s="101"/>
    </row>
    <row r="87" spans="1:7">
      <c r="A87" s="4" t="s">
        <v>78</v>
      </c>
      <c r="B87" s="7"/>
      <c r="C87" s="7"/>
      <c r="D87" s="101"/>
      <c r="E87" s="101"/>
      <c r="F87" s="101"/>
      <c r="G87" s="99"/>
    </row>
    <row r="88" ht="11.25" customHeight="1" spans="1:7">
      <c r="A88" s="7"/>
      <c r="B88" s="7"/>
      <c r="C88" s="7"/>
      <c r="D88" s="101"/>
      <c r="E88" s="101"/>
      <c r="F88" s="101"/>
      <c r="G88" s="99"/>
    </row>
    <row r="89" ht="13.9" customHeight="1" spans="1:7">
      <c r="A89" s="7" t="s">
        <v>235</v>
      </c>
      <c r="B89" s="7"/>
      <c r="C89" s="7"/>
      <c r="D89" s="101"/>
      <c r="E89" s="101"/>
      <c r="F89" s="101"/>
      <c r="G89" s="99"/>
    </row>
    <row r="90" ht="11.25" customHeight="1" spans="1:7">
      <c r="A90" s="7"/>
      <c r="B90" s="7"/>
      <c r="C90" s="7"/>
      <c r="D90" s="101"/>
      <c r="E90" s="101"/>
      <c r="F90" s="101"/>
      <c r="G90" s="99"/>
    </row>
    <row r="91" ht="27.75" customHeight="1" spans="1:7">
      <c r="A91" s="121" t="s">
        <v>25</v>
      </c>
      <c r="B91" s="121" t="s">
        <v>26</v>
      </c>
      <c r="C91" s="165" t="s">
        <v>80</v>
      </c>
      <c r="D91" s="122" t="s">
        <v>27</v>
      </c>
      <c r="E91" s="122" t="s">
        <v>28</v>
      </c>
      <c r="F91" s="122" t="s">
        <v>29</v>
      </c>
      <c r="G91" s="99"/>
    </row>
    <row r="92" spans="1:7">
      <c r="A92" s="7" t="s">
        <v>81</v>
      </c>
      <c r="B92" s="123" t="s">
        <v>70</v>
      </c>
      <c r="C92" s="166">
        <v>12</v>
      </c>
      <c r="D92" s="149">
        <v>155</v>
      </c>
      <c r="E92" s="125">
        <f t="shared" ref="E92:E97" si="2">IFERROR(D92/C92,0)</f>
        <v>12.9166666666667</v>
      </c>
      <c r="F92" s="101"/>
      <c r="G92" s="99"/>
    </row>
    <row r="93" ht="13.15" customHeight="1" spans="1:7">
      <c r="A93" s="7" t="s">
        <v>82</v>
      </c>
      <c r="B93" s="123" t="s">
        <v>70</v>
      </c>
      <c r="C93" s="166">
        <v>4</v>
      </c>
      <c r="D93" s="149">
        <v>36.9</v>
      </c>
      <c r="E93" s="125">
        <f t="shared" si="2"/>
        <v>9.225</v>
      </c>
      <c r="F93" s="101"/>
      <c r="G93" s="99"/>
    </row>
    <row r="94" spans="1:7">
      <c r="A94" s="7" t="s">
        <v>83</v>
      </c>
      <c r="B94" s="123" t="s">
        <v>70</v>
      </c>
      <c r="C94" s="166">
        <v>3</v>
      </c>
      <c r="D94" s="149">
        <v>25.9</v>
      </c>
      <c r="E94" s="125">
        <f t="shared" si="2"/>
        <v>8.63333333333333</v>
      </c>
      <c r="F94" s="101"/>
      <c r="G94" s="99"/>
    </row>
    <row r="95" ht="13.9" customHeight="1" spans="1:7">
      <c r="A95" s="7" t="s">
        <v>85</v>
      </c>
      <c r="B95" s="123" t="s">
        <v>86</v>
      </c>
      <c r="C95" s="166">
        <v>6</v>
      </c>
      <c r="D95" s="149">
        <v>52.9</v>
      </c>
      <c r="E95" s="125">
        <f t="shared" si="2"/>
        <v>8.81666666666667</v>
      </c>
      <c r="F95" s="101"/>
      <c r="G95" s="99"/>
    </row>
    <row r="96" spans="1:6">
      <c r="A96" s="7" t="s">
        <v>88</v>
      </c>
      <c r="B96" s="123" t="s">
        <v>70</v>
      </c>
      <c r="C96" s="166">
        <v>6</v>
      </c>
      <c r="D96" s="149">
        <v>67.98</v>
      </c>
      <c r="E96" s="125">
        <f t="shared" si="2"/>
        <v>11.33</v>
      </c>
      <c r="F96" s="101"/>
    </row>
    <row r="97" ht="13.15" customHeight="1" spans="1:6">
      <c r="A97" s="7" t="s">
        <v>91</v>
      </c>
      <c r="B97" s="123" t="s">
        <v>92</v>
      </c>
      <c r="C97" s="166">
        <v>4</v>
      </c>
      <c r="D97" s="149">
        <v>22.9</v>
      </c>
      <c r="E97" s="125">
        <f t="shared" si="2"/>
        <v>5.725</v>
      </c>
      <c r="F97" s="101"/>
    </row>
    <row r="98" spans="1:6">
      <c r="A98" s="7" t="s">
        <v>93</v>
      </c>
      <c r="B98" s="123" t="s">
        <v>94</v>
      </c>
      <c r="C98" s="167">
        <v>1</v>
      </c>
      <c r="D98" s="149">
        <v>100</v>
      </c>
      <c r="E98" s="125">
        <f>C98*D98</f>
        <v>100</v>
      </c>
      <c r="F98" s="101"/>
    </row>
    <row r="99" spans="1:6">
      <c r="A99" s="7" t="s">
        <v>44</v>
      </c>
      <c r="B99" s="123" t="s">
        <v>45</v>
      </c>
      <c r="C99" s="168">
        <v>1</v>
      </c>
      <c r="D99" s="125">
        <f>+SUM(E92:E98)</f>
        <v>156.646666666667</v>
      </c>
      <c r="E99" s="125">
        <f>C99*D99</f>
        <v>156.646666666667</v>
      </c>
      <c r="F99" s="101"/>
    </row>
    <row r="100" spans="1:6">
      <c r="A100" s="7"/>
      <c r="B100" s="7"/>
      <c r="C100" s="7"/>
      <c r="D100" s="154" t="s">
        <v>46</v>
      </c>
      <c r="E100" s="101">
        <f>$B$43</f>
        <v>0.18</v>
      </c>
      <c r="F100" s="129">
        <f>E99*E100</f>
        <v>28.1964</v>
      </c>
    </row>
    <row r="101" ht="11.25" customHeight="1" spans="1:6">
      <c r="A101" s="7"/>
      <c r="B101" s="7"/>
      <c r="C101" s="7"/>
      <c r="D101" s="101"/>
      <c r="E101" s="101"/>
      <c r="F101" s="101"/>
    </row>
    <row r="102" ht="11.25" customHeight="1" spans="1:7">
      <c r="A102" s="7"/>
      <c r="B102" s="7"/>
      <c r="C102" s="7"/>
      <c r="D102" s="101"/>
      <c r="E102" s="101"/>
      <c r="F102" s="101"/>
      <c r="G102" s="99"/>
    </row>
    <row r="103" spans="1:7">
      <c r="A103" s="4" t="s">
        <v>96</v>
      </c>
      <c r="B103" s="7"/>
      <c r="C103" s="7"/>
      <c r="D103" s="101"/>
      <c r="E103" s="101"/>
      <c r="F103" s="169">
        <f>F100</f>
        <v>28.1964</v>
      </c>
      <c r="G103" s="99"/>
    </row>
    <row r="104" ht="11.25" customHeight="1" spans="1:7">
      <c r="A104" s="7"/>
      <c r="B104" s="7"/>
      <c r="C104" s="7"/>
      <c r="D104" s="101"/>
      <c r="E104" s="101"/>
      <c r="F104" s="101"/>
      <c r="G104" s="99"/>
    </row>
    <row r="105" spans="1:7">
      <c r="A105" s="4" t="s">
        <v>196</v>
      </c>
      <c r="B105" s="7"/>
      <c r="C105" s="7"/>
      <c r="D105" s="101"/>
      <c r="E105" s="101"/>
      <c r="F105" s="101"/>
      <c r="G105" s="99"/>
    </row>
    <row r="106" ht="11.25" customHeight="1" spans="1:7">
      <c r="A106" s="7"/>
      <c r="B106" s="170"/>
      <c r="C106" s="7"/>
      <c r="D106" s="101"/>
      <c r="E106" s="101"/>
      <c r="F106" s="101"/>
      <c r="G106" s="99"/>
    </row>
    <row r="107" spans="1:7">
      <c r="A107" s="7" t="s">
        <v>236</v>
      </c>
      <c r="B107" s="7"/>
      <c r="C107" s="7"/>
      <c r="D107" s="101"/>
      <c r="E107" s="111"/>
      <c r="F107" s="111"/>
      <c r="G107" s="99"/>
    </row>
    <row r="108" ht="11.25" customHeight="1" spans="1:7">
      <c r="A108" s="7"/>
      <c r="B108" s="7"/>
      <c r="C108" s="7"/>
      <c r="D108" s="101"/>
      <c r="E108" s="101"/>
      <c r="F108" s="101"/>
      <c r="G108" s="99"/>
    </row>
    <row r="109" spans="1:7">
      <c r="A109" s="170" t="s">
        <v>99</v>
      </c>
      <c r="B109" s="7"/>
      <c r="C109" s="7"/>
      <c r="D109" s="101"/>
      <c r="E109" s="101"/>
      <c r="F109" s="101"/>
      <c r="G109" s="99"/>
    </row>
    <row r="110" spans="1:7">
      <c r="A110" s="121" t="s">
        <v>25</v>
      </c>
      <c r="B110" s="121" t="s">
        <v>26</v>
      </c>
      <c r="C110" s="121" t="s">
        <v>19</v>
      </c>
      <c r="D110" s="122" t="s">
        <v>27</v>
      </c>
      <c r="E110" s="122" t="s">
        <v>28</v>
      </c>
      <c r="F110" s="122" t="s">
        <v>29</v>
      </c>
      <c r="G110" s="99"/>
    </row>
    <row r="111" spans="1:7">
      <c r="A111" s="7" t="s">
        <v>100</v>
      </c>
      <c r="B111" s="123" t="s">
        <v>70</v>
      </c>
      <c r="C111" s="171">
        <v>1</v>
      </c>
      <c r="D111" s="163">
        <v>901254</v>
      </c>
      <c r="E111" s="125">
        <f>C111*D111</f>
        <v>901254</v>
      </c>
      <c r="F111" s="101"/>
      <c r="G111" s="99"/>
    </row>
    <row r="112" spans="1:7">
      <c r="A112" s="7" t="s">
        <v>101</v>
      </c>
      <c r="B112" s="123" t="s">
        <v>102</v>
      </c>
      <c r="C112" s="152">
        <v>10</v>
      </c>
      <c r="D112" s="153"/>
      <c r="E112" s="125"/>
      <c r="F112" s="101"/>
      <c r="G112" s="99"/>
    </row>
    <row r="113" spans="1:10">
      <c r="A113" s="7" t="s">
        <v>103</v>
      </c>
      <c r="B113" s="123" t="s">
        <v>102</v>
      </c>
      <c r="C113" s="152">
        <v>0</v>
      </c>
      <c r="D113" s="125"/>
      <c r="E113" s="125"/>
      <c r="F113" s="125"/>
      <c r="I113" s="175"/>
      <c r="J113" s="175"/>
    </row>
    <row r="114" spans="1:6">
      <c r="A114" s="7" t="s">
        <v>104</v>
      </c>
      <c r="B114" s="123" t="s">
        <v>5</v>
      </c>
      <c r="C114" s="128">
        <v>65.18</v>
      </c>
      <c r="D114" s="125">
        <f>E111</f>
        <v>901254</v>
      </c>
      <c r="E114" s="125">
        <f>C114*D114/100</f>
        <v>587437.3572</v>
      </c>
      <c r="F114" s="101"/>
    </row>
    <row r="115" spans="1:6">
      <c r="A115" s="4" t="s">
        <v>237</v>
      </c>
      <c r="B115" s="146" t="s">
        <v>31</v>
      </c>
      <c r="C115" s="146">
        <f>C112*12</f>
        <v>120</v>
      </c>
      <c r="D115" s="110">
        <f>IF(C113&lt;=C112,E114,0)</f>
        <v>587437.3572</v>
      </c>
      <c r="E115" s="110">
        <f>IFERROR(D115/C115,0)</f>
        <v>4895.31131</v>
      </c>
      <c r="F115" s="101"/>
    </row>
    <row r="116" spans="1:6">
      <c r="A116" s="7" t="s">
        <v>238</v>
      </c>
      <c r="B116" s="123" t="s">
        <v>70</v>
      </c>
      <c r="C116" s="123">
        <f>C111</f>
        <v>1</v>
      </c>
      <c r="D116" s="163">
        <v>150000</v>
      </c>
      <c r="E116" s="125">
        <f>C116*D116</f>
        <v>150000</v>
      </c>
      <c r="F116" s="101"/>
    </row>
    <row r="117" spans="1:6">
      <c r="A117" s="7" t="s">
        <v>101</v>
      </c>
      <c r="B117" s="123" t="s">
        <v>102</v>
      </c>
      <c r="C117" s="152">
        <v>10</v>
      </c>
      <c r="D117" s="125"/>
      <c r="E117" s="125"/>
      <c r="F117" s="101"/>
    </row>
    <row r="118" spans="1:6">
      <c r="A118" s="7" t="s">
        <v>103</v>
      </c>
      <c r="B118" s="123" t="s">
        <v>102</v>
      </c>
      <c r="C118" s="152">
        <v>0</v>
      </c>
      <c r="D118" s="125"/>
      <c r="E118" s="125"/>
      <c r="F118" s="101"/>
    </row>
    <row r="119" spans="1:6">
      <c r="A119" s="7" t="s">
        <v>239</v>
      </c>
      <c r="B119" s="123" t="s">
        <v>5</v>
      </c>
      <c r="C119" s="172">
        <v>65.18</v>
      </c>
      <c r="D119" s="125">
        <f>E116</f>
        <v>150000</v>
      </c>
      <c r="E119" s="125">
        <f>C119*D119/100</f>
        <v>97770</v>
      </c>
      <c r="F119" s="101"/>
    </row>
    <row r="120" spans="1:6">
      <c r="A120" s="7" t="s">
        <v>240</v>
      </c>
      <c r="B120" s="146" t="s">
        <v>31</v>
      </c>
      <c r="C120" s="146">
        <f>C117*12</f>
        <v>120</v>
      </c>
      <c r="D120" s="110">
        <f>IF(C118&lt;=C117,E119,0)</f>
        <v>97770</v>
      </c>
      <c r="E120" s="110">
        <f>IFERROR(D120/C120,0)</f>
        <v>814.75</v>
      </c>
      <c r="F120" s="101"/>
    </row>
    <row r="121" spans="1:6">
      <c r="A121" s="4" t="s">
        <v>111</v>
      </c>
      <c r="B121" s="146"/>
      <c r="C121" s="146"/>
      <c r="D121" s="110"/>
      <c r="E121" s="110">
        <f>E115+E120</f>
        <v>5710.06131</v>
      </c>
      <c r="F121" s="101"/>
    </row>
    <row r="122" spans="1:6">
      <c r="A122" s="4" t="s">
        <v>112</v>
      </c>
      <c r="B122" s="146" t="s">
        <v>70</v>
      </c>
      <c r="C122" s="152">
        <v>1</v>
      </c>
      <c r="D122" s="110">
        <f>E121</f>
        <v>5710.06131</v>
      </c>
      <c r="E122" s="110">
        <f>C122*D122</f>
        <v>5710.06131</v>
      </c>
      <c r="F122" s="101"/>
    </row>
    <row r="123" spans="1:6">
      <c r="A123" s="173"/>
      <c r="B123" s="173"/>
      <c r="C123" s="173"/>
      <c r="D123" s="154" t="s">
        <v>46</v>
      </c>
      <c r="E123" s="101">
        <f>$B$43</f>
        <v>0.18</v>
      </c>
      <c r="F123" s="129">
        <f>E122*E123</f>
        <v>1027.8110358</v>
      </c>
    </row>
    <row r="124" ht="11.25" customHeight="1" spans="1:6">
      <c r="A124" s="7"/>
      <c r="B124" s="7"/>
      <c r="C124" s="7"/>
      <c r="D124" s="101"/>
      <c r="E124" s="101"/>
      <c r="F124" s="101"/>
    </row>
    <row r="125" spans="1:6">
      <c r="A125" s="170" t="s">
        <v>113</v>
      </c>
      <c r="B125" s="7"/>
      <c r="C125" s="7"/>
      <c r="D125" s="101"/>
      <c r="E125" s="101"/>
      <c r="F125" s="101"/>
    </row>
    <row r="126" spans="1:10">
      <c r="A126" s="121" t="s">
        <v>25</v>
      </c>
      <c r="B126" s="121" t="s">
        <v>26</v>
      </c>
      <c r="C126" s="121" t="s">
        <v>19</v>
      </c>
      <c r="D126" s="122" t="s">
        <v>27</v>
      </c>
      <c r="E126" s="122" t="s">
        <v>28</v>
      </c>
      <c r="F126" s="122" t="s">
        <v>29</v>
      </c>
      <c r="I126" s="175"/>
      <c r="J126" s="175"/>
    </row>
    <row r="127" spans="1:10">
      <c r="A127" s="7" t="s">
        <v>114</v>
      </c>
      <c r="B127" s="123" t="s">
        <v>70</v>
      </c>
      <c r="C127" s="171">
        <v>1</v>
      </c>
      <c r="D127" s="125">
        <f>D111</f>
        <v>901254</v>
      </c>
      <c r="E127" s="125">
        <f>C127*D127</f>
        <v>901254</v>
      </c>
      <c r="F127" s="125"/>
      <c r="I127" s="175"/>
      <c r="J127" s="175"/>
    </row>
    <row r="128" spans="1:10">
      <c r="A128" s="7" t="s">
        <v>115</v>
      </c>
      <c r="B128" s="123" t="s">
        <v>5</v>
      </c>
      <c r="C128" s="174">
        <v>13.75</v>
      </c>
      <c r="D128" s="125"/>
      <c r="E128" s="125"/>
      <c r="F128" s="125"/>
      <c r="I128" s="175"/>
      <c r="J128" s="175"/>
    </row>
    <row r="129" spans="1:10">
      <c r="A129" s="7" t="s">
        <v>241</v>
      </c>
      <c r="B129" s="123" t="s">
        <v>38</v>
      </c>
      <c r="C129" s="176">
        <f>IFERROR(IF(C113&lt;=C112,E111-(C114/(100*C112)*C113)*E111,E111-E114),0)</f>
        <v>901254</v>
      </c>
      <c r="D129" s="125"/>
      <c r="E129" s="125"/>
      <c r="F129" s="125"/>
      <c r="I129" s="175"/>
      <c r="J129" s="175"/>
    </row>
    <row r="130" spans="1:10">
      <c r="A130" s="7" t="s">
        <v>117</v>
      </c>
      <c r="B130" s="123" t="s">
        <v>38</v>
      </c>
      <c r="C130" s="153">
        <f>IFERROR(IF(C113&gt;=C112,C129,((((C129)-(E111-E114))*(((C112-C113)+1)/(2*(C112-C113))))+(E111-E114))),0)</f>
        <v>636907.18926</v>
      </c>
      <c r="D130" s="125"/>
      <c r="E130" s="125"/>
      <c r="F130" s="125"/>
      <c r="I130" s="175"/>
      <c r="J130" s="175"/>
    </row>
    <row r="131" spans="1:10">
      <c r="A131" s="155" t="s">
        <v>119</v>
      </c>
      <c r="B131" s="123" t="s">
        <v>70</v>
      </c>
      <c r="C131" s="123">
        <v>1</v>
      </c>
      <c r="D131" s="125">
        <f>D115</f>
        <v>587437.3572</v>
      </c>
      <c r="E131" s="125">
        <f>C131*D131</f>
        <v>587437.3572</v>
      </c>
      <c r="F131" s="125"/>
      <c r="I131" s="175"/>
      <c r="J131" s="175"/>
    </row>
    <row r="132" spans="1:10">
      <c r="A132" s="155" t="s">
        <v>115</v>
      </c>
      <c r="B132" s="123" t="s">
        <v>5</v>
      </c>
      <c r="C132" s="171">
        <v>13.75</v>
      </c>
      <c r="D132" s="125"/>
      <c r="E132" s="125"/>
      <c r="F132" s="125"/>
      <c r="I132" s="175"/>
      <c r="J132" s="175"/>
    </row>
    <row r="133" spans="1:10">
      <c r="A133" s="155" t="s">
        <v>120</v>
      </c>
      <c r="B133" s="123" t="s">
        <v>38</v>
      </c>
      <c r="C133" s="176"/>
      <c r="D133" s="125"/>
      <c r="E133" s="125"/>
      <c r="F133" s="125"/>
      <c r="I133" s="175"/>
      <c r="J133" s="175"/>
    </row>
    <row r="134" spans="1:10">
      <c r="A134" s="155" t="s">
        <v>121</v>
      </c>
      <c r="B134" s="123" t="s">
        <v>38</v>
      </c>
      <c r="C134" s="153">
        <f>IFERROR(IF(C117&gt;=C116,C133,((((C133)-(E115-E118))*(((C116-C117)+1)/(2*(C116-C117))))+(E115-E118))),0)</f>
        <v>0</v>
      </c>
      <c r="D134" s="125"/>
      <c r="E134" s="125"/>
      <c r="F134" s="125"/>
      <c r="I134" s="175"/>
      <c r="J134" s="175"/>
    </row>
    <row r="135" spans="1:10">
      <c r="A135" s="4" t="s">
        <v>118</v>
      </c>
      <c r="B135" s="146" t="s">
        <v>38</v>
      </c>
      <c r="C135" s="146"/>
      <c r="D135" s="130">
        <f>C128*C130/12/100</f>
        <v>7297.8948769375</v>
      </c>
      <c r="E135" s="110">
        <f>D135</f>
        <v>7297.8948769375</v>
      </c>
      <c r="F135" s="125"/>
      <c r="I135" s="175"/>
      <c r="J135" s="175"/>
    </row>
    <row r="136" spans="1:10">
      <c r="A136" s="4" t="s">
        <v>111</v>
      </c>
      <c r="B136" s="146"/>
      <c r="C136" s="146"/>
      <c r="D136" s="110"/>
      <c r="E136" s="110">
        <f>E135</f>
        <v>7297.8948769375</v>
      </c>
      <c r="F136" s="125"/>
      <c r="I136" s="175"/>
      <c r="J136" s="175"/>
    </row>
    <row r="137" spans="1:10">
      <c r="A137" s="4" t="s">
        <v>112</v>
      </c>
      <c r="B137" s="146" t="s">
        <v>70</v>
      </c>
      <c r="C137" s="171">
        <f>C122</f>
        <v>1</v>
      </c>
      <c r="D137" s="110">
        <f>E136</f>
        <v>7297.8948769375</v>
      </c>
      <c r="E137" s="110">
        <f>C137*D137</f>
        <v>7297.8948769375</v>
      </c>
      <c r="F137" s="125"/>
      <c r="I137" s="175"/>
      <c r="J137" s="175"/>
    </row>
    <row r="138" spans="1:10">
      <c r="A138" s="7"/>
      <c r="B138" s="7"/>
      <c r="C138" s="123"/>
      <c r="D138" s="154" t="s">
        <v>46</v>
      </c>
      <c r="E138" s="101">
        <f>$B$43</f>
        <v>0.18</v>
      </c>
      <c r="F138" s="129">
        <f>E137*E138</f>
        <v>1313.62107784875</v>
      </c>
      <c r="I138" s="175"/>
      <c r="J138" s="175"/>
    </row>
    <row r="139" ht="11.25" customHeight="1" spans="1:10">
      <c r="A139" s="7"/>
      <c r="B139" s="7"/>
      <c r="C139" s="7"/>
      <c r="D139" s="101"/>
      <c r="E139" s="101"/>
      <c r="F139" s="101"/>
      <c r="I139" s="175"/>
      <c r="J139" s="175"/>
    </row>
    <row r="140" spans="1:10">
      <c r="A140" s="7" t="s">
        <v>123</v>
      </c>
      <c r="B140" s="7"/>
      <c r="C140" s="7"/>
      <c r="D140" s="101"/>
      <c r="E140" s="101"/>
      <c r="F140" s="101"/>
      <c r="I140" s="175"/>
      <c r="J140" s="175"/>
    </row>
    <row r="141" spans="1:10">
      <c r="A141" s="121" t="s">
        <v>25</v>
      </c>
      <c r="B141" s="121" t="s">
        <v>26</v>
      </c>
      <c r="C141" s="121" t="s">
        <v>19</v>
      </c>
      <c r="D141" s="122" t="s">
        <v>27</v>
      </c>
      <c r="E141" s="122" t="s">
        <v>28</v>
      </c>
      <c r="F141" s="122" t="s">
        <v>29</v>
      </c>
      <c r="I141" s="175"/>
      <c r="J141" s="175"/>
    </row>
    <row r="142" spans="1:10">
      <c r="A142" s="7" t="s">
        <v>124</v>
      </c>
      <c r="B142" s="123" t="s">
        <v>70</v>
      </c>
      <c r="C142" s="125">
        <f>C122</f>
        <v>1</v>
      </c>
      <c r="D142" s="125">
        <f>0.01*($E$111)</f>
        <v>9012.54</v>
      </c>
      <c r="E142" s="125">
        <f t="shared" ref="E142:E144" si="3">C142*D142</f>
        <v>9012.54</v>
      </c>
      <c r="F142" s="101"/>
      <c r="I142" s="175"/>
      <c r="J142" s="175"/>
    </row>
    <row r="143" spans="1:10">
      <c r="A143" s="7" t="s">
        <v>125</v>
      </c>
      <c r="B143" s="123" t="s">
        <v>70</v>
      </c>
      <c r="C143" s="125">
        <f>C122</f>
        <v>1</v>
      </c>
      <c r="D143" s="149">
        <v>230.71</v>
      </c>
      <c r="E143" s="125">
        <f t="shared" si="3"/>
        <v>230.71</v>
      </c>
      <c r="F143" s="101"/>
      <c r="I143" s="175"/>
      <c r="J143" s="175"/>
    </row>
    <row r="144" spans="1:10">
      <c r="A144" s="155" t="s">
        <v>126</v>
      </c>
      <c r="B144" s="123" t="s">
        <v>70</v>
      </c>
      <c r="C144" s="125">
        <f>C122</f>
        <v>1</v>
      </c>
      <c r="D144" s="149">
        <v>5000</v>
      </c>
      <c r="E144" s="125">
        <f t="shared" si="3"/>
        <v>5000</v>
      </c>
      <c r="F144" s="110"/>
      <c r="I144" s="175"/>
      <c r="J144" s="175"/>
    </row>
    <row r="145" spans="1:10">
      <c r="A145" s="4" t="s">
        <v>127</v>
      </c>
      <c r="B145" s="146" t="s">
        <v>31</v>
      </c>
      <c r="C145" s="146">
        <v>12</v>
      </c>
      <c r="D145" s="110">
        <f>SUM(E142:E144)</f>
        <v>14243.25</v>
      </c>
      <c r="E145" s="110">
        <f>D145/C145</f>
        <v>1186.9375</v>
      </c>
      <c r="F145" s="101"/>
      <c r="I145" s="175"/>
      <c r="J145" s="175"/>
    </row>
    <row r="146" spans="1:10">
      <c r="A146" s="7"/>
      <c r="B146" s="7"/>
      <c r="C146" s="7"/>
      <c r="D146" s="154" t="s">
        <v>46</v>
      </c>
      <c r="E146" s="101">
        <f>$B$43</f>
        <v>0.18</v>
      </c>
      <c r="F146" s="129">
        <f>E145*E146</f>
        <v>213.64875</v>
      </c>
      <c r="I146" s="175"/>
      <c r="J146" s="175"/>
    </row>
    <row r="147" ht="11.25" customHeight="1" spans="1:10">
      <c r="A147" s="7"/>
      <c r="B147" s="7"/>
      <c r="C147" s="7"/>
      <c r="D147" s="101"/>
      <c r="E147" s="101"/>
      <c r="F147" s="101"/>
      <c r="I147" s="175"/>
      <c r="J147" s="175"/>
    </row>
    <row r="148" spans="1:10">
      <c r="A148" s="7" t="s">
        <v>128</v>
      </c>
      <c r="B148" s="177"/>
      <c r="C148" s="7"/>
      <c r="D148" s="101"/>
      <c r="E148" s="101"/>
      <c r="F148" s="101"/>
      <c r="I148" s="175"/>
      <c r="J148" s="175"/>
    </row>
    <row r="149" spans="1:10">
      <c r="A149" s="7"/>
      <c r="B149" s="177"/>
      <c r="C149" s="7"/>
      <c r="D149" s="101"/>
      <c r="E149" s="101"/>
      <c r="F149" s="101"/>
      <c r="I149" s="175"/>
      <c r="J149" s="175"/>
    </row>
    <row r="150" spans="1:10">
      <c r="A150" s="4" t="s">
        <v>129</v>
      </c>
      <c r="B150" s="178">
        <f>150/25*80</f>
        <v>480</v>
      </c>
      <c r="C150" s="7"/>
      <c r="D150" s="101"/>
      <c r="E150" s="101"/>
      <c r="F150" s="101"/>
      <c r="I150" s="175"/>
      <c r="J150" s="175"/>
    </row>
    <row r="151" spans="1:10">
      <c r="A151" s="7"/>
      <c r="B151" s="177"/>
      <c r="C151" s="7"/>
      <c r="D151" s="101"/>
      <c r="E151" s="101"/>
      <c r="F151" s="101"/>
      <c r="I151" s="175"/>
      <c r="J151" s="175"/>
    </row>
    <row r="152" spans="1:10">
      <c r="A152" s="121" t="s">
        <v>25</v>
      </c>
      <c r="B152" s="121" t="s">
        <v>26</v>
      </c>
      <c r="C152" s="121" t="s">
        <v>130</v>
      </c>
      <c r="D152" s="122" t="s">
        <v>27</v>
      </c>
      <c r="E152" s="122" t="s">
        <v>28</v>
      </c>
      <c r="F152" s="122" t="s">
        <v>29</v>
      </c>
      <c r="I152" s="175"/>
      <c r="J152" s="175"/>
    </row>
    <row r="153" spans="1:10">
      <c r="A153" s="7" t="s">
        <v>131</v>
      </c>
      <c r="B153" s="123" t="s">
        <v>132</v>
      </c>
      <c r="C153" s="179">
        <v>2</v>
      </c>
      <c r="D153" s="163">
        <v>5.3</v>
      </c>
      <c r="E153" s="125"/>
      <c r="F153" s="101"/>
      <c r="I153" s="175"/>
      <c r="J153" s="175"/>
    </row>
    <row r="154" spans="1:10">
      <c r="A154" s="155" t="s">
        <v>133</v>
      </c>
      <c r="B154" s="123" t="s">
        <v>134</v>
      </c>
      <c r="C154" s="120">
        <f>B150</f>
        <v>480</v>
      </c>
      <c r="D154" s="180">
        <f>D153/C153</f>
        <v>2.65</v>
      </c>
      <c r="E154" s="149">
        <f>D154*C154</f>
        <v>1272</v>
      </c>
      <c r="F154" s="101"/>
      <c r="I154" s="175"/>
      <c r="J154" s="175"/>
    </row>
    <row r="155" spans="1:10">
      <c r="A155" s="155" t="s">
        <v>135</v>
      </c>
      <c r="B155" s="123" t="s">
        <v>132</v>
      </c>
      <c r="C155" s="181">
        <v>40</v>
      </c>
      <c r="D155" s="182">
        <v>4</v>
      </c>
      <c r="E155" s="153"/>
      <c r="F155" s="101"/>
      <c r="I155" s="175"/>
      <c r="J155" s="175"/>
    </row>
    <row r="156" spans="1:10">
      <c r="A156" s="155" t="s">
        <v>136</v>
      </c>
      <c r="B156" s="123" t="s">
        <v>134</v>
      </c>
      <c r="C156" s="120">
        <f>B150</f>
        <v>480</v>
      </c>
      <c r="D156" s="180">
        <f t="shared" ref="D156:D160" si="4">+C155*D155/1000</f>
        <v>0.16</v>
      </c>
      <c r="E156" s="125">
        <f>C156*D156</f>
        <v>76.8</v>
      </c>
      <c r="F156" s="101"/>
      <c r="I156" s="175"/>
      <c r="J156" s="175"/>
    </row>
    <row r="157" spans="1:10">
      <c r="A157" s="155" t="s">
        <v>202</v>
      </c>
      <c r="B157" s="123" t="s">
        <v>132</v>
      </c>
      <c r="C157" s="179">
        <v>2</v>
      </c>
      <c r="D157" s="149">
        <v>21</v>
      </c>
      <c r="E157" s="125"/>
      <c r="F157" s="101"/>
      <c r="G157" s="183"/>
      <c r="H157" s="184"/>
      <c r="I157" s="175"/>
      <c r="J157" s="175"/>
    </row>
    <row r="158" spans="1:10">
      <c r="A158" s="155" t="s">
        <v>139</v>
      </c>
      <c r="B158" s="123" t="s">
        <v>134</v>
      </c>
      <c r="C158" s="120">
        <f>C154</f>
        <v>480</v>
      </c>
      <c r="D158" s="180">
        <f t="shared" si="4"/>
        <v>0.042</v>
      </c>
      <c r="E158" s="125">
        <f>C158*D158</f>
        <v>20.16</v>
      </c>
      <c r="F158" s="101"/>
      <c r="G158" s="183"/>
      <c r="H158" s="184"/>
      <c r="I158" s="175"/>
      <c r="J158" s="175"/>
    </row>
    <row r="159" spans="1:10">
      <c r="A159" s="155" t="s">
        <v>204</v>
      </c>
      <c r="B159" s="123" t="s">
        <v>242</v>
      </c>
      <c r="C159" s="179">
        <v>5</v>
      </c>
      <c r="D159" s="149">
        <v>21</v>
      </c>
      <c r="E159" s="125"/>
      <c r="F159" s="101"/>
      <c r="G159" s="183"/>
      <c r="H159" s="184"/>
      <c r="I159" s="175"/>
      <c r="J159" s="175"/>
    </row>
    <row r="160" spans="1:10">
      <c r="A160" s="155" t="s">
        <v>141</v>
      </c>
      <c r="B160" s="123" t="s">
        <v>134</v>
      </c>
      <c r="C160" s="120">
        <f>C154</f>
        <v>480</v>
      </c>
      <c r="D160" s="180">
        <f t="shared" si="4"/>
        <v>0.105</v>
      </c>
      <c r="E160" s="125">
        <f>C160*D160</f>
        <v>50.4</v>
      </c>
      <c r="F160" s="101"/>
      <c r="G160" s="183"/>
      <c r="H160" s="184"/>
      <c r="I160" s="175"/>
      <c r="J160" s="175"/>
    </row>
    <row r="161" spans="1:10">
      <c r="A161" s="155" t="s">
        <v>205</v>
      </c>
      <c r="B161" s="123" t="s">
        <v>242</v>
      </c>
      <c r="C161" s="179">
        <v>5</v>
      </c>
      <c r="D161" s="149">
        <v>31</v>
      </c>
      <c r="E161" s="125"/>
      <c r="F161" s="101"/>
      <c r="G161" s="183"/>
      <c r="H161" s="184"/>
      <c r="I161" s="175"/>
      <c r="J161" s="175"/>
    </row>
    <row r="162" spans="1:10">
      <c r="A162" s="155" t="s">
        <v>143</v>
      </c>
      <c r="B162" s="123" t="s">
        <v>134</v>
      </c>
      <c r="C162" s="120">
        <f>C154</f>
        <v>480</v>
      </c>
      <c r="D162" s="180">
        <f>+C161*D161/1000</f>
        <v>0.155</v>
      </c>
      <c r="E162" s="125">
        <f>C162*D162</f>
        <v>74.4</v>
      </c>
      <c r="F162" s="101"/>
      <c r="G162" s="183"/>
      <c r="H162" s="184"/>
      <c r="I162" s="175"/>
      <c r="J162" s="175"/>
    </row>
    <row r="163" spans="1:10">
      <c r="A163" s="155" t="s">
        <v>144</v>
      </c>
      <c r="B163" s="123" t="s">
        <v>243</v>
      </c>
      <c r="C163" s="179">
        <v>4</v>
      </c>
      <c r="D163" s="149">
        <v>15</v>
      </c>
      <c r="E163" s="125"/>
      <c r="F163" s="101"/>
      <c r="G163" s="183"/>
      <c r="H163" s="184"/>
      <c r="I163" s="175"/>
      <c r="J163" s="175"/>
    </row>
    <row r="164" spans="1:10">
      <c r="A164" s="7" t="s">
        <v>146</v>
      </c>
      <c r="B164" s="123" t="s">
        <v>207</v>
      </c>
      <c r="C164" s="120">
        <f>C154</f>
        <v>480</v>
      </c>
      <c r="D164" s="180">
        <f>+C163*D163/1000</f>
        <v>0.06</v>
      </c>
      <c r="E164" s="125">
        <f>C164*D164</f>
        <v>28.8</v>
      </c>
      <c r="F164" s="101"/>
      <c r="G164" s="183"/>
      <c r="H164" s="184"/>
      <c r="I164" s="175"/>
      <c r="J164" s="175"/>
    </row>
    <row r="165" spans="1:10">
      <c r="A165" s="4" t="s">
        <v>147</v>
      </c>
      <c r="B165" s="146" t="s">
        <v>148</v>
      </c>
      <c r="C165" s="148"/>
      <c r="D165" s="185">
        <f>D154+D156+D158+D160+D162+D164</f>
        <v>3.172</v>
      </c>
      <c r="E165" s="125"/>
      <c r="F165" s="101"/>
      <c r="G165" s="183"/>
      <c r="H165" s="184"/>
      <c r="I165" s="175"/>
      <c r="J165" s="175"/>
    </row>
    <row r="166" spans="1:10">
      <c r="A166" s="7"/>
      <c r="B166" s="7"/>
      <c r="C166" s="7"/>
      <c r="D166" s="101"/>
      <c r="E166" s="101"/>
      <c r="F166" s="186">
        <f>SUM(E153:E164)</f>
        <v>1522.56</v>
      </c>
      <c r="I166" s="175"/>
      <c r="J166" s="175"/>
    </row>
    <row r="167" ht="11.25" customHeight="1" spans="1:10">
      <c r="A167" s="7"/>
      <c r="B167" s="7"/>
      <c r="C167" s="7"/>
      <c r="D167" s="101"/>
      <c r="E167" s="101"/>
      <c r="F167" s="101"/>
      <c r="I167" s="175"/>
      <c r="J167" s="175"/>
    </row>
    <row r="168" spans="1:10">
      <c r="A168" s="7" t="s">
        <v>149</v>
      </c>
      <c r="B168" s="7"/>
      <c r="C168" s="7"/>
      <c r="D168" s="101"/>
      <c r="E168" s="101"/>
      <c r="F168" s="101"/>
      <c r="I168" s="175"/>
      <c r="J168" s="175"/>
    </row>
    <row r="169" spans="1:10">
      <c r="A169" s="121" t="s">
        <v>25</v>
      </c>
      <c r="B169" s="121" t="s">
        <v>26</v>
      </c>
      <c r="C169" s="121" t="s">
        <v>19</v>
      </c>
      <c r="D169" s="122" t="s">
        <v>27</v>
      </c>
      <c r="E169" s="122" t="s">
        <v>28</v>
      </c>
      <c r="F169" s="122" t="s">
        <v>29</v>
      </c>
      <c r="I169" s="175"/>
      <c r="J169" s="175"/>
    </row>
    <row r="170" spans="1:10">
      <c r="A170" s="7" t="s">
        <v>150</v>
      </c>
      <c r="B170" s="123" t="s">
        <v>148</v>
      </c>
      <c r="C170" s="120">
        <f>C154</f>
        <v>480</v>
      </c>
      <c r="D170" s="149">
        <v>1.2</v>
      </c>
      <c r="E170" s="125">
        <f>C170*D170</f>
        <v>576</v>
      </c>
      <c r="F170" s="101"/>
      <c r="I170" s="175"/>
      <c r="J170" s="175"/>
    </row>
    <row r="171" spans="1:10">
      <c r="A171" s="7"/>
      <c r="B171" s="7"/>
      <c r="C171" s="7"/>
      <c r="D171" s="101"/>
      <c r="E171" s="101"/>
      <c r="F171" s="129">
        <f>E170</f>
        <v>576</v>
      </c>
      <c r="I171" s="175"/>
      <c r="J171" s="175"/>
    </row>
    <row r="172" ht="11.25" customHeight="1" spans="1:10">
      <c r="A172" s="7"/>
      <c r="B172" s="7"/>
      <c r="C172" s="7"/>
      <c r="D172" s="101"/>
      <c r="E172" s="101"/>
      <c r="F172" s="101"/>
      <c r="I172" s="175"/>
      <c r="J172" s="175"/>
    </row>
    <row r="173" spans="1:10">
      <c r="A173" s="7" t="s">
        <v>151</v>
      </c>
      <c r="B173" s="7"/>
      <c r="C173" s="7"/>
      <c r="D173" s="101"/>
      <c r="E173" s="101"/>
      <c r="F173" s="101"/>
      <c r="I173" s="175"/>
      <c r="J173" s="175"/>
    </row>
    <row r="174" spans="1:10">
      <c r="A174" s="121" t="s">
        <v>25</v>
      </c>
      <c r="B174" s="121" t="s">
        <v>26</v>
      </c>
      <c r="C174" s="121" t="s">
        <v>19</v>
      </c>
      <c r="D174" s="122" t="s">
        <v>27</v>
      </c>
      <c r="E174" s="122" t="s">
        <v>28</v>
      </c>
      <c r="F174" s="122" t="s">
        <v>29</v>
      </c>
      <c r="I174" s="175"/>
      <c r="J174" s="175"/>
    </row>
    <row r="175" spans="1:10">
      <c r="A175" s="158" t="s">
        <v>152</v>
      </c>
      <c r="B175" s="123" t="s">
        <v>70</v>
      </c>
      <c r="C175" s="152">
        <v>6</v>
      </c>
      <c r="D175" s="149">
        <v>1757</v>
      </c>
      <c r="E175" s="125">
        <f>C175*D175</f>
        <v>10542</v>
      </c>
      <c r="F175" s="101"/>
      <c r="I175" s="175"/>
      <c r="J175" s="175"/>
    </row>
    <row r="176" spans="1:10">
      <c r="A176" s="158" t="s">
        <v>153</v>
      </c>
      <c r="B176" s="123" t="s">
        <v>70</v>
      </c>
      <c r="C176" s="152">
        <v>2</v>
      </c>
      <c r="D176" s="153"/>
      <c r="E176" s="125"/>
      <c r="F176" s="101"/>
      <c r="I176" s="175"/>
      <c r="J176" s="175"/>
    </row>
    <row r="177" spans="1:10">
      <c r="A177" s="7" t="s">
        <v>154</v>
      </c>
      <c r="B177" s="123" t="s">
        <v>70</v>
      </c>
      <c r="C177" s="125">
        <f>C175*C176</f>
        <v>12</v>
      </c>
      <c r="D177" s="149">
        <v>604</v>
      </c>
      <c r="E177" s="125">
        <f>C177*D177</f>
        <v>7248</v>
      </c>
      <c r="F177" s="101"/>
      <c r="I177" s="175"/>
      <c r="J177" s="175"/>
    </row>
    <row r="178" spans="1:10">
      <c r="A178" s="158" t="s">
        <v>155</v>
      </c>
      <c r="B178" s="123" t="s">
        <v>156</v>
      </c>
      <c r="C178" s="187">
        <v>60000</v>
      </c>
      <c r="D178" s="125">
        <f>E175+E177</f>
        <v>17790</v>
      </c>
      <c r="E178" s="125">
        <f>IFERROR(D178/C178,"-")</f>
        <v>0.2965</v>
      </c>
      <c r="F178" s="101"/>
      <c r="I178" s="175"/>
      <c r="J178" s="175"/>
    </row>
    <row r="179" spans="1:10">
      <c r="A179" s="158" t="s">
        <v>157</v>
      </c>
      <c r="B179" s="123" t="s">
        <v>134</v>
      </c>
      <c r="C179" s="120">
        <f>B150</f>
        <v>480</v>
      </c>
      <c r="D179" s="125">
        <f>E178</f>
        <v>0.2965</v>
      </c>
      <c r="E179" s="125">
        <f>IFERROR(C179*D179,0)</f>
        <v>142.32</v>
      </c>
      <c r="F179" s="101"/>
      <c r="I179" s="175"/>
      <c r="J179" s="175"/>
    </row>
    <row r="180" spans="1:10">
      <c r="A180" s="7"/>
      <c r="B180" s="7"/>
      <c r="C180" s="7"/>
      <c r="D180" s="154"/>
      <c r="E180" s="101"/>
      <c r="F180" s="129">
        <f>E179</f>
        <v>142.32</v>
      </c>
      <c r="I180" s="175"/>
      <c r="J180" s="175"/>
    </row>
    <row r="181" spans="1:10">
      <c r="A181" s="7"/>
      <c r="B181" s="7"/>
      <c r="C181" s="7"/>
      <c r="D181" s="101"/>
      <c r="E181" s="101"/>
      <c r="F181" s="129"/>
      <c r="I181" s="175"/>
      <c r="J181" s="175"/>
    </row>
    <row r="182" spans="1:7">
      <c r="A182" s="4" t="s">
        <v>158</v>
      </c>
      <c r="B182" s="4"/>
      <c r="C182" s="4"/>
      <c r="D182" s="111"/>
      <c r="E182" s="111"/>
      <c r="F182" s="169">
        <f>+SUM(F123:F180)</f>
        <v>4795.96086364875</v>
      </c>
      <c r="G182" s="99"/>
    </row>
    <row r="183" ht="11.25" customHeight="1" spans="1:7">
      <c r="A183" s="7"/>
      <c r="B183" s="7"/>
      <c r="C183" s="7"/>
      <c r="D183" s="101"/>
      <c r="E183" s="101"/>
      <c r="F183" s="101"/>
      <c r="G183" s="99"/>
    </row>
    <row r="184" spans="1:7">
      <c r="A184" s="4" t="s">
        <v>159</v>
      </c>
      <c r="B184" s="4"/>
      <c r="C184" s="4"/>
      <c r="D184" s="111"/>
      <c r="E184" s="111"/>
      <c r="F184" s="130"/>
      <c r="G184" s="99"/>
    </row>
    <row r="185" ht="11.25" customHeight="1" spans="1:7">
      <c r="A185" s="7"/>
      <c r="B185" s="7"/>
      <c r="C185" s="7"/>
      <c r="D185" s="101"/>
      <c r="E185" s="101"/>
      <c r="F185" s="101"/>
      <c r="G185" s="99"/>
    </row>
    <row r="186" spans="1:7">
      <c r="A186" s="121" t="s">
        <v>25</v>
      </c>
      <c r="B186" s="121" t="s">
        <v>26</v>
      </c>
      <c r="C186" s="121" t="s">
        <v>19</v>
      </c>
      <c r="D186" s="122" t="s">
        <v>27</v>
      </c>
      <c r="E186" s="122" t="s">
        <v>28</v>
      </c>
      <c r="F186" s="122" t="s">
        <v>29</v>
      </c>
      <c r="G186" s="99"/>
    </row>
    <row r="187" spans="1:7">
      <c r="A187" s="7" t="s">
        <v>160</v>
      </c>
      <c r="B187" s="123" t="s">
        <v>70</v>
      </c>
      <c r="C187" s="166">
        <v>0.0833333333333333</v>
      </c>
      <c r="D187" s="149">
        <v>43.1</v>
      </c>
      <c r="E187" s="125">
        <f t="shared" ref="E187:E191" si="5">C187*D187</f>
        <v>3.59166666666667</v>
      </c>
      <c r="F187" s="153"/>
      <c r="G187" s="99"/>
    </row>
    <row r="188" spans="1:7">
      <c r="A188" s="7" t="s">
        <v>161</v>
      </c>
      <c r="B188" s="123" t="s">
        <v>70</v>
      </c>
      <c r="C188" s="166">
        <v>0.0833333333333333</v>
      </c>
      <c r="D188" s="149">
        <v>35.09</v>
      </c>
      <c r="E188" s="125">
        <f t="shared" si="5"/>
        <v>2.92416666666667</v>
      </c>
      <c r="F188" s="153"/>
      <c r="G188" s="99"/>
    </row>
    <row r="189" spans="1:7">
      <c r="A189" s="7" t="s">
        <v>162</v>
      </c>
      <c r="B189" s="123" t="s">
        <v>70</v>
      </c>
      <c r="C189" s="166">
        <v>0.0833333333333333</v>
      </c>
      <c r="D189" s="149">
        <v>20.9</v>
      </c>
      <c r="E189" s="125">
        <f t="shared" si="5"/>
        <v>1.74166666666667</v>
      </c>
      <c r="F189" s="153"/>
      <c r="G189" s="99"/>
    </row>
    <row r="190" spans="1:7">
      <c r="A190" s="7" t="s">
        <v>163</v>
      </c>
      <c r="B190" s="123" t="s">
        <v>164</v>
      </c>
      <c r="C190" s="166">
        <v>0.0833333333333333</v>
      </c>
      <c r="D190" s="149">
        <v>100</v>
      </c>
      <c r="E190" s="125">
        <f t="shared" si="5"/>
        <v>8.33333333333333</v>
      </c>
      <c r="F190" s="153"/>
      <c r="G190" s="99"/>
    </row>
    <row r="191" spans="1:7">
      <c r="A191" s="7" t="s">
        <v>165</v>
      </c>
      <c r="B191" s="123" t="s">
        <v>164</v>
      </c>
      <c r="C191" s="166">
        <v>0.0833333333333333</v>
      </c>
      <c r="D191" s="149">
        <v>100</v>
      </c>
      <c r="E191" s="125">
        <f t="shared" si="5"/>
        <v>8.33333333333333</v>
      </c>
      <c r="F191" s="153"/>
      <c r="G191" s="99"/>
    </row>
    <row r="192" spans="1:7">
      <c r="A192" s="4"/>
      <c r="B192" s="4"/>
      <c r="C192" s="123"/>
      <c r="D192" s="154" t="s">
        <v>46</v>
      </c>
      <c r="E192" s="101">
        <f>$B$43</f>
        <v>0.18</v>
      </c>
      <c r="F192" s="129">
        <f>SUM(E187:E191)*E192</f>
        <v>4.48635</v>
      </c>
      <c r="G192" s="99"/>
    </row>
    <row r="193" spans="1:7">
      <c r="A193" s="4"/>
      <c r="B193" s="4"/>
      <c r="C193" s="123"/>
      <c r="D193" s="154"/>
      <c r="E193" s="101"/>
      <c r="F193" s="129"/>
      <c r="G193" s="99"/>
    </row>
    <row r="194" spans="1:7">
      <c r="A194" s="4" t="s">
        <v>167</v>
      </c>
      <c r="B194" s="4"/>
      <c r="C194" s="4"/>
      <c r="D194" s="111"/>
      <c r="E194" s="111"/>
      <c r="F194" s="130"/>
      <c r="G194" s="99"/>
    </row>
    <row r="195" spans="1:7">
      <c r="A195" s="7"/>
      <c r="B195" s="7"/>
      <c r="C195" s="7"/>
      <c r="D195" s="101"/>
      <c r="E195" s="101"/>
      <c r="F195" s="101"/>
      <c r="G195" s="99"/>
    </row>
    <row r="196" spans="1:7">
      <c r="A196" s="121" t="s">
        <v>25</v>
      </c>
      <c r="B196" s="121" t="s">
        <v>26</v>
      </c>
      <c r="C196" s="121" t="s">
        <v>19</v>
      </c>
      <c r="D196" s="122" t="s">
        <v>27</v>
      </c>
      <c r="E196" s="122" t="s">
        <v>28</v>
      </c>
      <c r="F196" s="122" t="s">
        <v>29</v>
      </c>
      <c r="G196" s="99"/>
    </row>
    <row r="197" spans="1:7">
      <c r="A197" s="7" t="s">
        <v>168</v>
      </c>
      <c r="B197" s="188" t="s">
        <v>164</v>
      </c>
      <c r="C197" s="168">
        <v>1</v>
      </c>
      <c r="D197" s="149">
        <v>325</v>
      </c>
      <c r="E197" s="125">
        <f>+D197*C197</f>
        <v>325</v>
      </c>
      <c r="F197" s="153"/>
      <c r="G197" s="99"/>
    </row>
    <row r="198" spans="1:7">
      <c r="A198" s="7" t="s">
        <v>169</v>
      </c>
      <c r="B198" s="188" t="s">
        <v>31</v>
      </c>
      <c r="C198" s="189">
        <v>60</v>
      </c>
      <c r="D198" s="190">
        <f>SUM(E197:E197)</f>
        <v>325</v>
      </c>
      <c r="E198" s="190">
        <f>+D198/C198</f>
        <v>5.41666666666667</v>
      </c>
      <c r="F198" s="153"/>
      <c r="G198" s="99"/>
    </row>
    <row r="199" spans="1:7">
      <c r="A199" s="7" t="s">
        <v>170</v>
      </c>
      <c r="B199" s="123" t="s">
        <v>70</v>
      </c>
      <c r="C199" s="168">
        <f>+C197</f>
        <v>1</v>
      </c>
      <c r="D199" s="149">
        <v>75</v>
      </c>
      <c r="E199" s="125">
        <f>C199*D199</f>
        <v>75</v>
      </c>
      <c r="F199" s="153"/>
      <c r="G199" s="99"/>
    </row>
    <row r="200" spans="1:7">
      <c r="A200" s="7" t="s">
        <v>171</v>
      </c>
      <c r="B200" s="188" t="s">
        <v>31</v>
      </c>
      <c r="C200" s="189">
        <v>1</v>
      </c>
      <c r="D200" s="190">
        <f>+E199</f>
        <v>75</v>
      </c>
      <c r="E200" s="190">
        <f>+D200/C200</f>
        <v>75</v>
      </c>
      <c r="F200" s="153"/>
      <c r="G200" s="99"/>
    </row>
    <row r="201" spans="1:7">
      <c r="A201" s="191"/>
      <c r="B201" s="191"/>
      <c r="C201" s="191"/>
      <c r="D201" s="154" t="s">
        <v>46</v>
      </c>
      <c r="E201" s="101">
        <v>0.18</v>
      </c>
      <c r="F201" s="192">
        <f>(E198+E200)*E201</f>
        <v>14.475</v>
      </c>
      <c r="G201" s="99"/>
    </row>
    <row r="202" ht="11.25" customHeight="1" spans="1:7">
      <c r="A202" s="7"/>
      <c r="B202" s="7"/>
      <c r="C202" s="7"/>
      <c r="D202" s="101"/>
      <c r="E202" s="101"/>
      <c r="F202" s="101"/>
      <c r="G202" s="99"/>
    </row>
    <row r="203" spans="1:7">
      <c r="A203" s="4" t="s">
        <v>166</v>
      </c>
      <c r="B203" s="4"/>
      <c r="C203" s="4"/>
      <c r="D203" s="111"/>
      <c r="E203" s="111"/>
      <c r="F203" s="169">
        <f>F192+F201</f>
        <v>18.96135</v>
      </c>
      <c r="G203" s="99"/>
    </row>
    <row r="204" ht="11.25" customHeight="1" spans="1:7">
      <c r="A204" s="7"/>
      <c r="B204" s="7"/>
      <c r="C204" s="7"/>
      <c r="D204" s="101"/>
      <c r="E204" s="101"/>
      <c r="F204" s="101"/>
      <c r="G204" s="99"/>
    </row>
    <row r="205" spans="1:6">
      <c r="A205" s="4"/>
      <c r="B205" s="7"/>
      <c r="C205" s="7"/>
      <c r="D205" s="101"/>
      <c r="E205" s="101"/>
      <c r="F205" s="127"/>
    </row>
    <row r="206" ht="17.25" customHeight="1" spans="1:6">
      <c r="A206" s="4" t="s">
        <v>177</v>
      </c>
      <c r="B206" s="7"/>
      <c r="C206" s="7"/>
      <c r="D206" s="101"/>
      <c r="E206" s="101"/>
      <c r="F206" s="126">
        <f>+F85+F103+F182+F203</f>
        <v>6151.00833364875</v>
      </c>
    </row>
    <row r="207" ht="11.25" customHeight="1" spans="1:6">
      <c r="A207" s="7"/>
      <c r="B207" s="7"/>
      <c r="C207" s="7"/>
      <c r="D207" s="101"/>
      <c r="E207" s="101"/>
      <c r="F207" s="101"/>
    </row>
    <row r="208" spans="1:6">
      <c r="A208" s="4" t="s">
        <v>226</v>
      </c>
      <c r="B208" s="7"/>
      <c r="C208" s="7"/>
      <c r="D208" s="101"/>
      <c r="E208" s="101"/>
      <c r="F208" s="101"/>
    </row>
    <row r="209" ht="11.25" customHeight="1" spans="1:6">
      <c r="A209" s="7"/>
      <c r="B209" s="7"/>
      <c r="C209" s="7"/>
      <c r="D209" s="101"/>
      <c r="E209" s="101"/>
      <c r="F209" s="101"/>
    </row>
    <row r="210" spans="1:6">
      <c r="A210" s="121" t="s">
        <v>25</v>
      </c>
      <c r="B210" s="121" t="s">
        <v>26</v>
      </c>
      <c r="C210" s="121" t="s">
        <v>19</v>
      </c>
      <c r="D210" s="122" t="s">
        <v>27</v>
      </c>
      <c r="E210" s="122" t="s">
        <v>28</v>
      </c>
      <c r="F210" s="122" t="s">
        <v>29</v>
      </c>
    </row>
    <row r="211" spans="1:6">
      <c r="A211" s="7" t="s">
        <v>179</v>
      </c>
      <c r="B211" s="123" t="s">
        <v>5</v>
      </c>
      <c r="C211" s="128">
        <f>'7.BDI'!C18*100</f>
        <v>27.01</v>
      </c>
      <c r="D211" s="125">
        <f>+F206</f>
        <v>6151.00833364875</v>
      </c>
      <c r="E211" s="125">
        <f>C211*D211/100</f>
        <v>1661.38735091853</v>
      </c>
      <c r="F211" s="101"/>
    </row>
    <row r="212" spans="1:6">
      <c r="A212" s="7"/>
      <c r="B212" s="7"/>
      <c r="C212" s="7"/>
      <c r="D212" s="101"/>
      <c r="E212" s="101"/>
      <c r="F212" s="129">
        <f>+E211</f>
        <v>1661.38735091853</v>
      </c>
    </row>
    <row r="213" ht="11.25" customHeight="1" spans="1:6">
      <c r="A213" s="7"/>
      <c r="B213" s="7"/>
      <c r="C213" s="7"/>
      <c r="D213" s="101"/>
      <c r="E213" s="101"/>
      <c r="F213" s="101"/>
    </row>
    <row r="214" spans="1:6">
      <c r="A214" s="4" t="s">
        <v>180</v>
      </c>
      <c r="B214" s="7"/>
      <c r="C214" s="7"/>
      <c r="D214" s="101"/>
      <c r="E214" s="101"/>
      <c r="F214" s="127">
        <f>F212</f>
        <v>1661.38735091853</v>
      </c>
    </row>
    <row r="215" spans="1:6">
      <c r="A215" s="4"/>
      <c r="B215" s="4"/>
      <c r="C215" s="4"/>
      <c r="D215" s="111"/>
      <c r="E215" s="111"/>
      <c r="F215" s="130"/>
    </row>
    <row r="216" ht="11.25" customHeight="1" spans="1:6">
      <c r="A216" s="7"/>
      <c r="B216" s="7"/>
      <c r="C216" s="7"/>
      <c r="D216" s="101"/>
      <c r="E216" s="101"/>
      <c r="F216" s="101"/>
    </row>
    <row r="217" ht="24.75" customHeight="1" spans="1:6">
      <c r="A217" s="4" t="s">
        <v>181</v>
      </c>
      <c r="B217" s="7"/>
      <c r="C217" s="7"/>
      <c r="D217" s="101"/>
      <c r="E217" s="101"/>
      <c r="F217" s="127">
        <f>F206+F214</f>
        <v>7812.39568456728</v>
      </c>
    </row>
    <row r="218" ht="12.6" customHeight="1" spans="1:6">
      <c r="A218" s="131"/>
      <c r="B218" s="131"/>
      <c r="C218" s="131"/>
      <c r="D218" s="132"/>
      <c r="E218" s="132"/>
      <c r="F218" s="132"/>
    </row>
    <row r="219" ht="12.6" customHeight="1" spans="1:6">
      <c r="A219" s="133"/>
      <c r="B219" s="133"/>
      <c r="C219" s="133"/>
      <c r="D219" s="134"/>
      <c r="E219" s="134"/>
      <c r="F219" s="134"/>
    </row>
    <row r="220" s="95" customFormat="1" ht="9.75" customHeight="1" spans="1:7">
      <c r="A220" s="135"/>
      <c r="B220" s="100"/>
      <c r="C220" s="100"/>
      <c r="D220" s="100"/>
      <c r="E220" s="100"/>
      <c r="F220" s="100"/>
      <c r="G220" s="100"/>
    </row>
    <row r="221" s="95" customFormat="1" ht="9.75" customHeight="1" spans="1:7">
      <c r="A221" s="135"/>
      <c r="B221" s="100"/>
      <c r="C221" s="100"/>
      <c r="D221" s="100"/>
      <c r="E221" s="100"/>
      <c r="F221" s="100"/>
      <c r="G221" s="100"/>
    </row>
    <row r="222" s="95" customFormat="1" ht="9.75" customHeight="1" spans="1:7">
      <c r="A222" s="135"/>
      <c r="B222" s="100"/>
      <c r="C222" s="100"/>
      <c r="D222" s="100"/>
      <c r="E222" s="100"/>
      <c r="F222" s="100"/>
      <c r="G222" s="100"/>
    </row>
    <row r="252" ht="9" customHeight="1" spans="4:7">
      <c r="D252" s="99"/>
      <c r="E252" s="99"/>
      <c r="F252" s="99"/>
      <c r="G252" s="99"/>
    </row>
  </sheetData>
  <mergeCells count="7">
    <mergeCell ref="A8:F8"/>
    <mergeCell ref="A9:F9"/>
    <mergeCell ref="A11:F11"/>
    <mergeCell ref="A19:C19"/>
    <mergeCell ref="A33:E33"/>
    <mergeCell ref="A34:D34"/>
    <mergeCell ref="A38:D38"/>
  </mergeCells>
  <hyperlinks>
    <hyperlink ref="A125" location="AbaRemun" display="3.1.2. Remuneração do Capital"/>
    <hyperlink ref="A109" location="AbaDeprec" display="3.1.1. Depreciação"/>
  </hyperlinks>
  <pageMargins left="0.905511811023622" right="0.511811023622047" top="0.748031496062992" bottom="0.748031496062992" header="0.31496062992126" footer="0.31496062992126"/>
  <pageSetup paperSize="9" fitToHeight="0" orientation="landscape"/>
  <headerFooter alignWithMargins="0">
    <oddFooter>&amp;R&amp;P de &amp;N</oddFooter>
  </headerFooter>
  <rowBreaks count="4" manualBreakCount="4">
    <brk id="44" max="5" man="1"/>
    <brk id="62" max="5" man="1"/>
    <brk id="104" max="5" man="1"/>
    <brk id="172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view="pageBreakPreview" zoomScaleNormal="100" workbookViewId="0">
      <selection activeCell="C15" sqref="C15"/>
    </sheetView>
  </sheetViews>
  <sheetFormatPr defaultColWidth="9" defaultRowHeight="13.2" outlineLevelCol="6"/>
  <cols>
    <col min="1" max="1" width="47.8888888888889" style="99" customWidth="1"/>
    <col min="2" max="2" width="16" style="99" customWidth="1"/>
    <col min="3" max="3" width="11.8518518518519" style="99" customWidth="1"/>
    <col min="4" max="4" width="14.712962962963" style="100" customWidth="1"/>
    <col min="5" max="5" width="15.4259259259259" style="100" customWidth="1"/>
    <col min="6" max="6" width="13.287037037037" style="100" customWidth="1"/>
    <col min="7" max="7" width="28.1388888888889" style="100" customWidth="1"/>
    <col min="8" max="8" width="9.13888888888889" style="99"/>
    <col min="9" max="9" width="14.5740740740741" style="99" customWidth="1"/>
    <col min="10" max="10" width="13.4259259259259" style="99" customWidth="1"/>
    <col min="11" max="16383" width="9.13888888888889" style="99"/>
    <col min="16384" max="16384" width="9.13888888888889"/>
  </cols>
  <sheetData>
    <row r="1" spans="1:6">
      <c r="A1" s="4" t="s">
        <v>11</v>
      </c>
      <c r="B1" s="7"/>
      <c r="C1" s="7"/>
      <c r="D1" s="101"/>
      <c r="E1" s="101"/>
      <c r="F1" s="101"/>
    </row>
    <row r="2" spans="1:6">
      <c r="A2" s="6" t="s">
        <v>12</v>
      </c>
      <c r="B2" s="7"/>
      <c r="C2" s="7"/>
      <c r="D2" s="101"/>
      <c r="E2" s="101"/>
      <c r="F2" s="101"/>
    </row>
    <row r="3" s="95" customFormat="1" ht="15.6" customHeight="1" spans="1:7">
      <c r="A3" s="7" t="s">
        <v>13</v>
      </c>
      <c r="B3" s="102"/>
      <c r="C3" s="103"/>
      <c r="D3" s="103"/>
      <c r="E3" s="103"/>
      <c r="F3" s="103"/>
      <c r="G3" s="100"/>
    </row>
    <row r="4" s="95" customFormat="1" ht="15.6" customHeight="1" spans="1:7">
      <c r="A4" s="6" t="s">
        <v>14</v>
      </c>
      <c r="B4" s="103"/>
      <c r="C4" s="103"/>
      <c r="D4" s="103"/>
      <c r="E4" s="103"/>
      <c r="F4" s="103"/>
      <c r="G4" s="100"/>
    </row>
    <row r="5" s="95" customFormat="1" ht="15.6" customHeight="1" spans="1:7">
      <c r="A5" s="7"/>
      <c r="B5" s="103"/>
      <c r="C5" s="103"/>
      <c r="D5" s="103"/>
      <c r="E5" s="103"/>
      <c r="F5" s="103"/>
      <c r="G5" s="100"/>
    </row>
    <row r="6" s="95" customFormat="1" ht="15.6" customHeight="1" spans="1:7">
      <c r="A6" s="7"/>
      <c r="B6" s="103"/>
      <c r="C6" s="103"/>
      <c r="D6" s="103"/>
      <c r="E6" s="103"/>
      <c r="F6" s="103"/>
      <c r="G6" s="100"/>
    </row>
    <row r="7" s="95" customFormat="1" ht="16.5" customHeight="1" spans="1:7">
      <c r="A7" s="7"/>
      <c r="B7" s="103"/>
      <c r="C7" s="103"/>
      <c r="D7" s="101"/>
      <c r="E7" s="101"/>
      <c r="F7" s="101"/>
      <c r="G7" s="100"/>
    </row>
    <row r="8" s="96" customFormat="1" ht="17.4" spans="1:7">
      <c r="A8" s="61" t="s">
        <v>0</v>
      </c>
      <c r="B8" s="61"/>
      <c r="C8" s="61"/>
      <c r="D8" s="61"/>
      <c r="E8" s="61"/>
      <c r="F8" s="61"/>
      <c r="G8" s="104"/>
    </row>
    <row r="9" s="96" customFormat="1" ht="21.75" customHeight="1" spans="1:7">
      <c r="A9" s="105" t="s">
        <v>244</v>
      </c>
      <c r="B9" s="105"/>
      <c r="C9" s="105"/>
      <c r="D9" s="105"/>
      <c r="E9" s="105"/>
      <c r="F9" s="105"/>
      <c r="G9" s="104"/>
    </row>
    <row r="10" s="95" customFormat="1" ht="10.9" customHeight="1" spans="1:7">
      <c r="A10" s="106"/>
      <c r="B10" s="107"/>
      <c r="C10" s="107"/>
      <c r="D10" s="108"/>
      <c r="E10" s="108"/>
      <c r="F10" s="108"/>
      <c r="G10" s="100"/>
    </row>
    <row r="11" s="95" customFormat="1" ht="15.75" customHeight="1" spans="1:7">
      <c r="A11" s="109" t="s">
        <v>2</v>
      </c>
      <c r="B11" s="109"/>
      <c r="C11" s="109"/>
      <c r="D11" s="109"/>
      <c r="E11" s="109"/>
      <c r="F11" s="109"/>
      <c r="G11" s="100"/>
    </row>
    <row r="12" s="95" customFormat="1" ht="15.75" customHeight="1" spans="1:7">
      <c r="A12" s="110" t="s">
        <v>3</v>
      </c>
      <c r="B12" s="101"/>
      <c r="C12" s="101"/>
      <c r="D12" s="111"/>
      <c r="E12" s="111" t="s">
        <v>4</v>
      </c>
      <c r="F12" s="110" t="s">
        <v>5</v>
      </c>
      <c r="G12" s="100"/>
    </row>
    <row r="13" s="97" customFormat="1" ht="15.75" customHeight="1" spans="1:7">
      <c r="A13" s="111" t="str">
        <f>A18</f>
        <v>1. Destinação Final</v>
      </c>
      <c r="B13" s="112"/>
      <c r="C13" s="111"/>
      <c r="D13" s="111"/>
      <c r="E13" s="113">
        <f>+F22</f>
        <v>24000</v>
      </c>
      <c r="F13" s="114">
        <f>IFERROR(E13/$E$15,0)</f>
        <v>0.787339579560664</v>
      </c>
      <c r="G13" s="115"/>
    </row>
    <row r="14" s="97" customFormat="1" ht="15.75" customHeight="1" spans="1:7">
      <c r="A14" s="116" t="str">
        <f>A27</f>
        <v>5. Benefícios e Despesas Indiretas - BDI</v>
      </c>
      <c r="B14" s="117"/>
      <c r="C14" s="111"/>
      <c r="D14" s="111"/>
      <c r="E14" s="113">
        <f>+F33</f>
        <v>6482.4</v>
      </c>
      <c r="F14" s="114">
        <f>IFERROR(E14/$E$15,0)</f>
        <v>0.212660420439335</v>
      </c>
      <c r="G14" s="115"/>
    </row>
    <row r="15" s="95" customFormat="1" ht="15.75" customHeight="1" spans="1:7">
      <c r="A15" s="116" t="s">
        <v>245</v>
      </c>
      <c r="B15" s="117"/>
      <c r="C15" s="111"/>
      <c r="D15" s="111"/>
      <c r="E15" s="118">
        <f>F36</f>
        <v>30482.4</v>
      </c>
      <c r="F15" s="119">
        <f>F13+F14</f>
        <v>1</v>
      </c>
      <c r="G15" s="100"/>
    </row>
    <row r="16" spans="1:6">
      <c r="A16" s="7"/>
      <c r="B16" s="7"/>
      <c r="C16" s="7"/>
      <c r="D16" s="101"/>
      <c r="E16" s="101"/>
      <c r="F16" s="101"/>
    </row>
    <row r="17" s="95" customFormat="1" ht="15.75" customHeight="1" spans="1:7">
      <c r="A17" s="101"/>
      <c r="B17" s="101"/>
      <c r="C17" s="101"/>
      <c r="D17" s="7"/>
      <c r="E17" s="120"/>
      <c r="F17" s="7"/>
      <c r="G17" s="100"/>
    </row>
    <row r="18" ht="13.15" customHeight="1" spans="1:6">
      <c r="A18" s="4" t="s">
        <v>246</v>
      </c>
      <c r="B18" s="7"/>
      <c r="C18" s="7"/>
      <c r="D18" s="101"/>
      <c r="E18" s="101"/>
      <c r="F18" s="101"/>
    </row>
    <row r="19" ht="11.25" customHeight="1" spans="1:6">
      <c r="A19" s="7"/>
      <c r="B19" s="7"/>
      <c r="C19" s="7"/>
      <c r="D19" s="101"/>
      <c r="E19" s="101"/>
      <c r="F19" s="101"/>
    </row>
    <row r="20" s="98" customFormat="1" ht="13.15" customHeight="1" spans="1:7">
      <c r="A20" s="121" t="s">
        <v>25</v>
      </c>
      <c r="B20" s="121" t="s">
        <v>26</v>
      </c>
      <c r="C20" s="121" t="s">
        <v>19</v>
      </c>
      <c r="D20" s="122" t="s">
        <v>27</v>
      </c>
      <c r="E20" s="122" t="s">
        <v>28</v>
      </c>
      <c r="F20" s="122" t="s">
        <v>29</v>
      </c>
      <c r="G20" s="100"/>
    </row>
    <row r="21" spans="1:6">
      <c r="A21" s="7" t="s">
        <v>247</v>
      </c>
      <c r="B21" s="123" t="s">
        <v>248</v>
      </c>
      <c r="C21" s="123">
        <v>150</v>
      </c>
      <c r="D21" s="124">
        <v>160</v>
      </c>
      <c r="E21" s="125">
        <f>C21*D21</f>
        <v>24000</v>
      </c>
      <c r="F21" s="101"/>
    </row>
    <row r="22" spans="1:7">
      <c r="A22" s="4" t="s">
        <v>249</v>
      </c>
      <c r="B22" s="4"/>
      <c r="C22" s="4"/>
      <c r="D22" s="111"/>
      <c r="E22" s="111"/>
      <c r="F22" s="126">
        <f>E21</f>
        <v>24000</v>
      </c>
      <c r="G22" s="99"/>
    </row>
    <row r="23" spans="1:6">
      <c r="A23" s="7"/>
      <c r="B23" s="7"/>
      <c r="C23" s="7"/>
      <c r="D23" s="101"/>
      <c r="E23" s="101"/>
      <c r="F23" s="101"/>
    </row>
    <row r="24" spans="1:6">
      <c r="A24" s="4"/>
      <c r="B24" s="7"/>
      <c r="C24" s="7"/>
      <c r="D24" s="101"/>
      <c r="E24" s="101"/>
      <c r="F24" s="127"/>
    </row>
    <row r="25" ht="17.25" customHeight="1" spans="1:6">
      <c r="A25" s="4" t="s">
        <v>177</v>
      </c>
      <c r="B25" s="7"/>
      <c r="C25" s="7"/>
      <c r="D25" s="101"/>
      <c r="E25" s="101"/>
      <c r="F25" s="126">
        <f>F22</f>
        <v>24000</v>
      </c>
    </row>
    <row r="26" ht="11.25" customHeight="1" spans="1:6">
      <c r="A26" s="7"/>
      <c r="B26" s="7"/>
      <c r="C26" s="7"/>
      <c r="D26" s="101"/>
      <c r="E26" s="101"/>
      <c r="F26" s="101"/>
    </row>
    <row r="27" spans="1:6">
      <c r="A27" s="4" t="s">
        <v>226</v>
      </c>
      <c r="B27" s="7"/>
      <c r="C27" s="7"/>
      <c r="D27" s="101"/>
      <c r="E27" s="101"/>
      <c r="F27" s="101"/>
    </row>
    <row r="28" ht="11.25" customHeight="1" spans="1:6">
      <c r="A28" s="7"/>
      <c r="B28" s="7"/>
      <c r="C28" s="7"/>
      <c r="D28" s="101"/>
      <c r="E28" s="101"/>
      <c r="F28" s="101"/>
    </row>
    <row r="29" spans="1:6">
      <c r="A29" s="121" t="s">
        <v>25</v>
      </c>
      <c r="B29" s="121" t="s">
        <v>26</v>
      </c>
      <c r="C29" s="121" t="s">
        <v>19</v>
      </c>
      <c r="D29" s="122" t="s">
        <v>27</v>
      </c>
      <c r="E29" s="122" t="s">
        <v>28</v>
      </c>
      <c r="F29" s="122" t="s">
        <v>29</v>
      </c>
    </row>
    <row r="30" spans="1:6">
      <c r="A30" s="7" t="s">
        <v>179</v>
      </c>
      <c r="B30" s="123" t="s">
        <v>5</v>
      </c>
      <c r="C30" s="128">
        <f>'7.BDI'!C18*100</f>
        <v>27.01</v>
      </c>
      <c r="D30" s="125">
        <f>+F25</f>
        <v>24000</v>
      </c>
      <c r="E30" s="125">
        <f>C30*D30/100</f>
        <v>6482.4</v>
      </c>
      <c r="F30" s="101"/>
    </row>
    <row r="31" spans="1:6">
      <c r="A31" s="7"/>
      <c r="B31" s="7"/>
      <c r="C31" s="7"/>
      <c r="D31" s="101"/>
      <c r="E31" s="101"/>
      <c r="F31" s="129">
        <f>+E30</f>
        <v>6482.4</v>
      </c>
    </row>
    <row r="32" ht="11.25" customHeight="1" spans="1:6">
      <c r="A32" s="7"/>
      <c r="B32" s="7"/>
      <c r="C32" s="7"/>
      <c r="D32" s="101"/>
      <c r="E32" s="101"/>
      <c r="F32" s="101"/>
    </row>
    <row r="33" spans="1:6">
      <c r="A33" s="4" t="s">
        <v>180</v>
      </c>
      <c r="B33" s="7"/>
      <c r="C33" s="7"/>
      <c r="D33" s="101"/>
      <c r="E33" s="101"/>
      <c r="F33" s="127">
        <f>F31</f>
        <v>6482.4</v>
      </c>
    </row>
    <row r="34" spans="1:6">
      <c r="A34" s="4"/>
      <c r="B34" s="4"/>
      <c r="C34" s="4"/>
      <c r="D34" s="111"/>
      <c r="E34" s="111"/>
      <c r="F34" s="130"/>
    </row>
    <row r="35" ht="11.25" customHeight="1" spans="1:6">
      <c r="A35" s="7"/>
      <c r="B35" s="7"/>
      <c r="C35" s="7"/>
      <c r="D35" s="101"/>
      <c r="E35" s="101"/>
      <c r="F35" s="101"/>
    </row>
    <row r="36" ht="24.75" customHeight="1" spans="1:6">
      <c r="A36" s="4" t="s">
        <v>181</v>
      </c>
      <c r="B36" s="7"/>
      <c r="C36" s="7"/>
      <c r="D36" s="101"/>
      <c r="E36" s="101"/>
      <c r="F36" s="127">
        <f>F25+F33</f>
        <v>30482.4</v>
      </c>
    </row>
    <row r="37" ht="12.6" customHeight="1" spans="1:6">
      <c r="A37" s="131"/>
      <c r="B37" s="131"/>
      <c r="C37" s="131"/>
      <c r="D37" s="132"/>
      <c r="E37" s="132"/>
      <c r="F37" s="132"/>
    </row>
    <row r="38" ht="12.6" customHeight="1" spans="1:6">
      <c r="A38" s="133"/>
      <c r="B38" s="133"/>
      <c r="C38" s="133"/>
      <c r="D38" s="134"/>
      <c r="E38" s="134"/>
      <c r="F38" s="134"/>
    </row>
    <row r="39" s="95" customFormat="1" ht="9.75" customHeight="1" spans="1:7">
      <c r="A39" s="135"/>
      <c r="B39" s="100"/>
      <c r="C39" s="100"/>
      <c r="D39" s="100"/>
      <c r="E39" s="100"/>
      <c r="F39" s="100"/>
      <c r="G39" s="100"/>
    </row>
    <row r="40" s="95" customFormat="1" ht="9.75" customHeight="1" spans="1:7">
      <c r="A40" s="135"/>
      <c r="B40" s="100"/>
      <c r="C40" s="100"/>
      <c r="D40" s="100"/>
      <c r="E40" s="100"/>
      <c r="F40" s="100"/>
      <c r="G40" s="100"/>
    </row>
    <row r="41" s="95" customFormat="1" ht="9.75" customHeight="1" spans="1:7">
      <c r="A41" s="135"/>
      <c r="B41" s="100"/>
      <c r="C41" s="100"/>
      <c r="D41" s="100"/>
      <c r="E41" s="100"/>
      <c r="F41" s="100"/>
      <c r="G41" s="100"/>
    </row>
    <row r="71" ht="9" customHeight="1" spans="4:7">
      <c r="D71" s="99"/>
      <c r="E71" s="99"/>
      <c r="F71" s="99"/>
      <c r="G71" s="99"/>
    </row>
  </sheetData>
  <mergeCells count="3">
    <mergeCell ref="A8:F8"/>
    <mergeCell ref="A9:F9"/>
    <mergeCell ref="A11:F11"/>
  </mergeCells>
  <pageMargins left="0.905511811023622" right="0.511811023622047" top="0.748031496062992" bottom="0.748031496062992" header="0.31496062992126" footer="0.31496062992126"/>
  <pageSetup paperSize="9" fitToHeight="0" orientation="landscape"/>
  <headerFooter alignWithMargins="0">
    <oddFooter>&amp;R&amp;P de &amp;N</oddFooter>
  </headerFooter>
  <rowBreaks count="1" manualBreakCount="1">
    <brk id="17" max="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14" workbookViewId="0">
      <selection activeCell="A1" sqref="A1:C34"/>
    </sheetView>
  </sheetViews>
  <sheetFormatPr defaultColWidth="9" defaultRowHeight="13.2"/>
  <cols>
    <col min="1" max="1" width="13.5740740740741" style="3" customWidth="1"/>
    <col min="2" max="2" width="36.712962962963" style="3" customWidth="1"/>
    <col min="3" max="3" width="14.5740740740741" style="3" customWidth="1"/>
    <col min="4" max="4" width="37.287037037037" style="52" customWidth="1"/>
    <col min="5" max="10" width="9.13888888888889" style="3"/>
    <col min="11" max="11" width="11" style="3" customWidth="1"/>
    <col min="12" max="16384" width="9.13888888888889" style="3"/>
  </cols>
  <sheetData>
    <row r="1" spans="1:3">
      <c r="A1" s="4" t="s">
        <v>11</v>
      </c>
      <c r="B1" s="5"/>
      <c r="C1" s="5"/>
    </row>
    <row r="2" spans="1:3">
      <c r="A2" s="6" t="s">
        <v>250</v>
      </c>
      <c r="B2" s="5"/>
      <c r="C2" s="5"/>
    </row>
    <row r="3" spans="1:3">
      <c r="A3" s="5"/>
      <c r="B3" s="5"/>
      <c r="C3" s="5"/>
    </row>
    <row r="4" ht="17.4" spans="1:6">
      <c r="A4" s="61" t="s">
        <v>251</v>
      </c>
      <c r="B4" s="61"/>
      <c r="C4" s="61"/>
      <c r="D4" s="62"/>
      <c r="E4" s="62"/>
      <c r="F4" s="62"/>
    </row>
    <row r="5" ht="13.8" spans="1:4">
      <c r="A5" s="63" t="s">
        <v>252</v>
      </c>
      <c r="B5" s="63" t="s">
        <v>253</v>
      </c>
      <c r="C5" s="63" t="s">
        <v>254</v>
      </c>
      <c r="D5" s="64"/>
    </row>
    <row r="6" ht="13.8" spans="1:12">
      <c r="A6" s="63" t="s">
        <v>255</v>
      </c>
      <c r="B6" s="63" t="s">
        <v>256</v>
      </c>
      <c r="C6" s="65">
        <v>0.2</v>
      </c>
      <c r="D6" s="64"/>
      <c r="F6" s="52"/>
      <c r="G6" s="52"/>
      <c r="H6" s="52"/>
      <c r="I6" s="52"/>
      <c r="J6" s="52"/>
      <c r="K6" s="52"/>
      <c r="L6" s="52"/>
    </row>
    <row r="7" ht="13.8" spans="1:12">
      <c r="A7" s="63" t="s">
        <v>257</v>
      </c>
      <c r="B7" s="63" t="s">
        <v>258</v>
      </c>
      <c r="C7" s="65">
        <v>0.015</v>
      </c>
      <c r="D7" s="64"/>
      <c r="F7" s="52"/>
      <c r="G7" s="52"/>
      <c r="H7" s="52"/>
      <c r="I7" s="52"/>
      <c r="J7" s="52"/>
      <c r="K7" s="52"/>
      <c r="L7" s="52"/>
    </row>
    <row r="8" ht="13.8" spans="1:12">
      <c r="A8" s="63" t="s">
        <v>259</v>
      </c>
      <c r="B8" s="63" t="s">
        <v>260</v>
      </c>
      <c r="C8" s="65">
        <v>0.01</v>
      </c>
      <c r="D8" s="64"/>
      <c r="F8" s="52"/>
      <c r="G8" s="52"/>
      <c r="H8" s="52"/>
      <c r="I8" s="52"/>
      <c r="J8" s="52"/>
      <c r="K8" s="52"/>
      <c r="L8" s="52"/>
    </row>
    <row r="9" ht="13.8" spans="1:12">
      <c r="A9" s="63" t="s">
        <v>261</v>
      </c>
      <c r="B9" s="63" t="s">
        <v>262</v>
      </c>
      <c r="C9" s="65">
        <v>0.002</v>
      </c>
      <c r="D9" s="64"/>
      <c r="F9" s="52"/>
      <c r="G9" s="52"/>
      <c r="H9" s="52"/>
      <c r="I9" s="52"/>
      <c r="J9" s="52"/>
      <c r="K9" s="52"/>
      <c r="L9" s="52"/>
    </row>
    <row r="10" ht="13.8" spans="1:12">
      <c r="A10" s="63" t="s">
        <v>263</v>
      </c>
      <c r="B10" s="63" t="s">
        <v>264</v>
      </c>
      <c r="C10" s="65">
        <v>0.006</v>
      </c>
      <c r="D10" s="64"/>
      <c r="F10" s="52"/>
      <c r="G10" s="52"/>
      <c r="H10" s="52"/>
      <c r="I10" s="52"/>
      <c r="J10" s="52"/>
      <c r="K10" s="52"/>
      <c r="L10" s="52"/>
    </row>
    <row r="11" ht="13.8" spans="1:12">
      <c r="A11" s="63" t="s">
        <v>265</v>
      </c>
      <c r="B11" s="63" t="s">
        <v>266</v>
      </c>
      <c r="C11" s="65">
        <v>0.025</v>
      </c>
      <c r="D11" s="64"/>
      <c r="F11" s="52"/>
      <c r="G11" s="52"/>
      <c r="H11" s="52"/>
      <c r="I11" s="52"/>
      <c r="J11" s="52"/>
      <c r="K11" s="52"/>
      <c r="L11" s="52"/>
    </row>
    <row r="12" ht="13.8" spans="1:12">
      <c r="A12" s="63" t="s">
        <v>267</v>
      </c>
      <c r="B12" s="63" t="s">
        <v>268</v>
      </c>
      <c r="C12" s="65">
        <v>0.03</v>
      </c>
      <c r="D12" s="64"/>
      <c r="F12" s="52"/>
      <c r="G12" s="52"/>
      <c r="H12" s="52"/>
      <c r="I12" s="52"/>
      <c r="J12" s="52"/>
      <c r="K12" s="52"/>
      <c r="L12" s="52"/>
    </row>
    <row r="13" ht="13.8" spans="1:12">
      <c r="A13" s="63" t="s">
        <v>269</v>
      </c>
      <c r="B13" s="63" t="s">
        <v>270</v>
      </c>
      <c r="C13" s="65">
        <v>0.08</v>
      </c>
      <c r="D13" s="66"/>
      <c r="F13" s="52"/>
      <c r="G13" s="52"/>
      <c r="H13" s="52"/>
      <c r="I13" s="52"/>
      <c r="J13" s="52"/>
      <c r="K13" s="52"/>
      <c r="L13" s="52"/>
    </row>
    <row r="14" ht="13.8" spans="1:12">
      <c r="A14" s="63" t="s">
        <v>271</v>
      </c>
      <c r="B14" s="67" t="s">
        <v>272</v>
      </c>
      <c r="C14" s="68">
        <f>SUM(C6:C13)</f>
        <v>0.368</v>
      </c>
      <c r="D14" s="66"/>
      <c r="F14" s="52"/>
      <c r="G14" s="52"/>
      <c r="H14" s="52"/>
      <c r="I14" s="52"/>
      <c r="J14" s="52"/>
      <c r="K14" s="52"/>
      <c r="L14" s="52"/>
    </row>
    <row r="15" ht="13.8" spans="1:12">
      <c r="A15" s="69"/>
      <c r="B15" s="70"/>
      <c r="C15" s="71"/>
      <c r="D15" s="66"/>
      <c r="F15" s="52"/>
      <c r="G15" s="52"/>
      <c r="H15" s="52"/>
      <c r="I15" s="52"/>
      <c r="J15" s="52"/>
      <c r="K15" s="52"/>
      <c r="L15" s="52"/>
    </row>
    <row r="16" ht="13.8" spans="1:12">
      <c r="A16" s="63" t="s">
        <v>273</v>
      </c>
      <c r="B16" s="72" t="s">
        <v>274</v>
      </c>
      <c r="C16" s="65">
        <v>0.0619</v>
      </c>
      <c r="D16" s="66"/>
      <c r="F16" s="52"/>
      <c r="G16" s="52"/>
      <c r="H16" s="52"/>
      <c r="I16" s="52"/>
      <c r="J16" s="52"/>
      <c r="K16" s="52"/>
      <c r="L16" s="52"/>
    </row>
    <row r="17" ht="13.8" spans="1:12">
      <c r="A17" s="63" t="s">
        <v>275</v>
      </c>
      <c r="B17" s="72" t="s">
        <v>276</v>
      </c>
      <c r="C17" s="65">
        <v>0.0833</v>
      </c>
      <c r="D17" s="66"/>
      <c r="F17" s="52"/>
      <c r="G17" s="52"/>
      <c r="H17" s="52"/>
      <c r="I17" s="52"/>
      <c r="J17" s="52"/>
      <c r="K17" s="52"/>
      <c r="L17" s="52"/>
    </row>
    <row r="18" ht="13.8" spans="1:12">
      <c r="A18" s="63" t="s">
        <v>277</v>
      </c>
      <c r="B18" s="72" t="s">
        <v>278</v>
      </c>
      <c r="C18" s="65">
        <v>0.0006</v>
      </c>
      <c r="D18" s="66"/>
      <c r="F18" s="52"/>
      <c r="G18" s="52"/>
      <c r="H18" s="52"/>
      <c r="I18" s="52"/>
      <c r="J18" s="52"/>
      <c r="K18" s="52"/>
      <c r="L18" s="52"/>
    </row>
    <row r="19" ht="13.8" spans="1:12">
      <c r="A19" s="63" t="s">
        <v>279</v>
      </c>
      <c r="B19" s="72" t="s">
        <v>280</v>
      </c>
      <c r="C19" s="65">
        <v>0.0082</v>
      </c>
      <c r="D19" s="66"/>
      <c r="F19" s="52"/>
      <c r="G19" s="52"/>
      <c r="H19" s="52"/>
      <c r="I19" s="52"/>
      <c r="J19" s="52"/>
      <c r="K19" s="52"/>
      <c r="L19" s="52"/>
    </row>
    <row r="20" ht="13.8" spans="1:12">
      <c r="A20" s="63" t="s">
        <v>281</v>
      </c>
      <c r="B20" s="72" t="s">
        <v>282</v>
      </c>
      <c r="C20" s="65">
        <v>0.0031</v>
      </c>
      <c r="D20" s="66"/>
      <c r="F20" s="52"/>
      <c r="G20" s="52"/>
      <c r="H20" s="52"/>
      <c r="I20" s="52"/>
      <c r="J20" s="52"/>
      <c r="K20" s="52"/>
      <c r="L20" s="52"/>
    </row>
    <row r="21" ht="13.8" spans="1:12">
      <c r="A21" s="63" t="s">
        <v>283</v>
      </c>
      <c r="B21" s="72" t="s">
        <v>284</v>
      </c>
      <c r="C21" s="65">
        <v>0.0166</v>
      </c>
      <c r="D21" s="66"/>
      <c r="F21" s="52"/>
      <c r="G21" s="52"/>
      <c r="H21" s="52"/>
      <c r="I21" s="52"/>
      <c r="J21" s="52"/>
      <c r="K21" s="52"/>
      <c r="L21" s="52"/>
    </row>
    <row r="22" ht="13.8" spans="1:12">
      <c r="A22" s="63" t="s">
        <v>285</v>
      </c>
      <c r="B22" s="67" t="s">
        <v>286</v>
      </c>
      <c r="C22" s="68">
        <f>SUM(C16:C21)</f>
        <v>0.1737</v>
      </c>
      <c r="D22" s="73"/>
      <c r="F22" s="52"/>
      <c r="G22" s="52"/>
      <c r="H22" s="52"/>
      <c r="I22" s="52"/>
      <c r="J22" s="52"/>
      <c r="K22" s="52"/>
      <c r="L22" s="52"/>
    </row>
    <row r="23" ht="13.8" spans="1:12">
      <c r="A23" s="69"/>
      <c r="B23" s="70"/>
      <c r="C23" s="71"/>
      <c r="D23" s="73"/>
      <c r="F23" s="52"/>
      <c r="G23" s="52"/>
      <c r="H23" s="52"/>
      <c r="I23" s="52"/>
      <c r="J23" s="52"/>
      <c r="K23" s="52"/>
      <c r="L23" s="52"/>
    </row>
    <row r="24" ht="13.8" spans="1:12">
      <c r="A24" s="63" t="s">
        <v>287</v>
      </c>
      <c r="B24" s="63" t="s">
        <v>288</v>
      </c>
      <c r="C24" s="65">
        <v>0.0256</v>
      </c>
      <c r="D24" s="66"/>
      <c r="E24" s="74"/>
      <c r="F24" s="52"/>
      <c r="G24" s="52"/>
      <c r="H24" s="52"/>
      <c r="I24" s="52"/>
      <c r="J24" s="52"/>
      <c r="K24" s="52"/>
      <c r="L24" s="52"/>
    </row>
    <row r="25" ht="13.8" spans="1:12">
      <c r="A25" s="63" t="s">
        <v>289</v>
      </c>
      <c r="B25" s="63" t="s">
        <v>290</v>
      </c>
      <c r="C25" s="65">
        <v>0.0492</v>
      </c>
      <c r="D25" s="66"/>
      <c r="F25" s="52"/>
      <c r="G25" s="52"/>
      <c r="H25" s="75"/>
      <c r="I25" s="52"/>
      <c r="J25" s="52"/>
      <c r="K25" s="52"/>
      <c r="L25" s="52"/>
    </row>
    <row r="26" ht="13.8" spans="1:12">
      <c r="A26" s="63" t="s">
        <v>291</v>
      </c>
      <c r="B26" s="63" t="s">
        <v>292</v>
      </c>
      <c r="C26" s="65">
        <v>0.0013</v>
      </c>
      <c r="D26" s="66"/>
      <c r="F26" s="52"/>
      <c r="G26" s="52"/>
      <c r="H26" s="52"/>
      <c r="I26" s="52"/>
      <c r="J26" s="52"/>
      <c r="K26" s="52"/>
      <c r="L26" s="52"/>
    </row>
    <row r="27" ht="13.8" spans="1:12">
      <c r="A27" s="63" t="s">
        <v>293</v>
      </c>
      <c r="B27" s="63" t="s">
        <v>294</v>
      </c>
      <c r="C27" s="65">
        <v>0.0205</v>
      </c>
      <c r="D27" s="66"/>
      <c r="F27" s="52"/>
      <c r="G27" s="76"/>
      <c r="H27" s="52"/>
      <c r="I27" s="52"/>
      <c r="J27" s="52"/>
      <c r="K27" s="52"/>
      <c r="L27" s="52"/>
    </row>
    <row r="28" ht="13.8" spans="1:12">
      <c r="A28" s="63" t="s">
        <v>295</v>
      </c>
      <c r="B28" s="63" t="s">
        <v>296</v>
      </c>
      <c r="C28" s="65">
        <v>0.0018</v>
      </c>
      <c r="D28" s="66"/>
      <c r="F28" s="52"/>
      <c r="G28" s="52"/>
      <c r="H28" s="52"/>
      <c r="I28" s="52"/>
      <c r="J28" s="52"/>
      <c r="K28" s="52"/>
      <c r="L28" s="52"/>
    </row>
    <row r="29" ht="13.8" spans="1:12">
      <c r="A29" s="63" t="s">
        <v>297</v>
      </c>
      <c r="B29" s="67" t="s">
        <v>298</v>
      </c>
      <c r="C29" s="68">
        <f>SUM(C24:C28)</f>
        <v>0.0984</v>
      </c>
      <c r="D29" s="73"/>
      <c r="F29" s="52"/>
      <c r="G29" s="52"/>
      <c r="H29" s="52"/>
      <c r="I29" s="52"/>
      <c r="J29" s="52"/>
      <c r="K29" s="52"/>
      <c r="L29" s="52"/>
    </row>
    <row r="30" ht="13.8" spans="1:12">
      <c r="A30" s="69"/>
      <c r="B30" s="70"/>
      <c r="C30" s="71"/>
      <c r="D30" s="73"/>
      <c r="F30" s="52"/>
      <c r="G30" s="52"/>
      <c r="H30" s="52"/>
      <c r="I30" s="52"/>
      <c r="J30" s="52"/>
      <c r="K30" s="52"/>
      <c r="L30" s="52"/>
    </row>
    <row r="31" ht="13.8" spans="1:12">
      <c r="A31" s="63" t="s">
        <v>299</v>
      </c>
      <c r="B31" s="63" t="s">
        <v>300</v>
      </c>
      <c r="C31" s="65">
        <f>ROUND(C14*C22,4)</f>
        <v>0.0639</v>
      </c>
      <c r="D31" s="66"/>
      <c r="F31" s="52"/>
      <c r="G31" s="52"/>
      <c r="H31" s="52"/>
      <c r="I31" s="52"/>
      <c r="J31" s="52"/>
      <c r="K31" s="52"/>
      <c r="L31" s="52"/>
    </row>
    <row r="32" ht="27.6" spans="1:12">
      <c r="A32" s="63" t="s">
        <v>301</v>
      </c>
      <c r="B32" s="77" t="s">
        <v>302</v>
      </c>
      <c r="C32" s="65">
        <v>0.002</v>
      </c>
      <c r="D32" s="66"/>
      <c r="F32" s="52"/>
      <c r="G32" s="52"/>
      <c r="H32" s="52"/>
      <c r="I32" s="52"/>
      <c r="J32" s="52"/>
      <c r="K32" s="52"/>
      <c r="L32" s="52"/>
    </row>
    <row r="33" ht="13.8" spans="1:12">
      <c r="A33" s="63" t="s">
        <v>303</v>
      </c>
      <c r="B33" s="67" t="s">
        <v>304</v>
      </c>
      <c r="C33" s="68">
        <f>SUM(C31:C32)</f>
        <v>0.0659</v>
      </c>
      <c r="D33" s="78"/>
      <c r="F33" s="52"/>
      <c r="G33" s="52"/>
      <c r="H33" s="52"/>
      <c r="I33" s="52"/>
      <c r="J33" s="52"/>
      <c r="K33" s="52"/>
      <c r="L33" s="52"/>
    </row>
    <row r="34" ht="13.8" spans="1:12">
      <c r="A34" s="79"/>
      <c r="B34" s="80" t="s">
        <v>305</v>
      </c>
      <c r="C34" s="81">
        <f>C33+C29+C22+C14</f>
        <v>0.706</v>
      </c>
      <c r="D34" s="78"/>
      <c r="F34" s="52"/>
      <c r="G34" s="52"/>
      <c r="H34" s="52"/>
      <c r="I34" s="52"/>
      <c r="J34" s="52"/>
      <c r="K34" s="52"/>
      <c r="L34" s="52"/>
    </row>
    <row r="35" ht="13.8" spans="1:12">
      <c r="A35" s="66"/>
      <c r="B35" s="82"/>
      <c r="C35" s="83"/>
      <c r="D35" s="84"/>
      <c r="F35" s="52"/>
      <c r="G35" s="52"/>
      <c r="H35" s="52"/>
      <c r="I35" s="52"/>
      <c r="J35" s="52"/>
      <c r="K35" s="52"/>
      <c r="L35" s="52"/>
    </row>
    <row r="36" ht="13.8" spans="1:12">
      <c r="A36" s="66"/>
      <c r="B36" s="66"/>
      <c r="C36" s="85"/>
      <c r="D36" s="86"/>
      <c r="F36" s="52"/>
      <c r="G36" s="52"/>
      <c r="H36" s="52"/>
      <c r="I36" s="52"/>
      <c r="J36" s="52"/>
      <c r="K36" s="52"/>
      <c r="L36" s="52"/>
    </row>
    <row r="37" ht="13.8" spans="1:12">
      <c r="A37" s="64"/>
      <c r="B37" s="64"/>
      <c r="C37" s="87"/>
      <c r="D37" s="64"/>
      <c r="F37" s="52"/>
      <c r="G37" s="52"/>
      <c r="H37" s="52"/>
      <c r="I37" s="52"/>
      <c r="J37" s="52"/>
      <c r="K37" s="52"/>
      <c r="L37" s="52"/>
    </row>
    <row r="38" ht="13.8" spans="1:12">
      <c r="A38" s="64"/>
      <c r="B38" s="64"/>
      <c r="C38" s="87"/>
      <c r="D38" s="64"/>
      <c r="F38" s="52"/>
      <c r="G38" s="52"/>
      <c r="H38" s="52"/>
      <c r="I38" s="52"/>
      <c r="J38" s="52"/>
      <c r="K38" s="52"/>
      <c r="L38" s="52"/>
    </row>
    <row r="39" ht="13.8" spans="1:12">
      <c r="A39" s="64"/>
      <c r="B39" s="64"/>
      <c r="C39" s="87"/>
      <c r="D39" s="64"/>
      <c r="F39" s="52"/>
      <c r="G39" s="52"/>
      <c r="H39" s="52"/>
      <c r="I39" s="52"/>
      <c r="J39" s="52"/>
      <c r="K39" s="52"/>
      <c r="L39" s="52"/>
    </row>
    <row r="40" ht="13.8" spans="1:12">
      <c r="A40" s="64"/>
      <c r="B40" s="88"/>
      <c r="C40" s="89"/>
      <c r="D40" s="64"/>
      <c r="F40" s="52"/>
      <c r="G40" s="52"/>
      <c r="H40" s="52"/>
      <c r="I40" s="52"/>
      <c r="J40" s="52"/>
      <c r="K40" s="52"/>
      <c r="L40" s="52"/>
    </row>
    <row r="41" ht="13.8" spans="1:12">
      <c r="A41" s="78"/>
      <c r="B41" s="88"/>
      <c r="C41" s="89"/>
      <c r="D41" s="78"/>
      <c r="E41" s="52"/>
      <c r="F41" s="52"/>
      <c r="G41" s="52"/>
      <c r="H41" s="52"/>
      <c r="I41" s="52"/>
      <c r="J41" s="52"/>
      <c r="K41" s="52"/>
      <c r="L41" s="52"/>
    </row>
    <row r="42" ht="16.8" spans="1:12">
      <c r="A42" s="90"/>
      <c r="B42" s="52"/>
      <c r="C42" s="52"/>
      <c r="E42" s="52"/>
      <c r="F42" s="52"/>
      <c r="G42" s="52"/>
      <c r="H42" s="52"/>
      <c r="I42" s="52"/>
      <c r="J42" s="52"/>
      <c r="K42" s="52"/>
      <c r="L42" s="52"/>
    </row>
    <row r="43" spans="1:12">
      <c r="A43" s="91"/>
      <c r="B43" s="92"/>
      <c r="C43" s="92"/>
      <c r="E43" s="52"/>
      <c r="F43" s="52"/>
      <c r="G43" s="52"/>
      <c r="H43" s="52"/>
      <c r="I43" s="52"/>
      <c r="J43" s="52"/>
      <c r="K43" s="52"/>
      <c r="L43" s="52"/>
    </row>
    <row r="44" ht="13.8" spans="1:12">
      <c r="A44" s="64"/>
      <c r="B44" s="93"/>
      <c r="C44" s="92"/>
      <c r="E44" s="52"/>
      <c r="F44" s="52"/>
      <c r="G44" s="52"/>
      <c r="H44" s="52"/>
      <c r="I44" s="52"/>
      <c r="J44" s="52"/>
      <c r="K44" s="52"/>
      <c r="L44" s="52"/>
    </row>
    <row r="45" ht="13.8" spans="1:12">
      <c r="A45" s="64"/>
      <c r="B45" s="93"/>
      <c r="C45" s="64"/>
      <c r="E45" s="52"/>
      <c r="F45" s="52"/>
      <c r="G45" s="52"/>
      <c r="H45" s="52"/>
      <c r="I45" s="52"/>
      <c r="J45" s="52"/>
      <c r="K45" s="52"/>
      <c r="L45" s="52"/>
    </row>
    <row r="46" ht="13.8" spans="1:12">
      <c r="A46" s="64"/>
      <c r="B46" s="87"/>
      <c r="C46" s="92"/>
      <c r="E46" s="52"/>
      <c r="F46" s="52"/>
      <c r="G46" s="52"/>
      <c r="H46" s="52"/>
      <c r="I46" s="52"/>
      <c r="J46" s="52"/>
      <c r="K46" s="52"/>
      <c r="L46" s="52"/>
    </row>
    <row r="47" ht="13.8" spans="1:12">
      <c r="A47" s="64"/>
      <c r="B47" s="93"/>
      <c r="C47" s="64"/>
      <c r="E47" s="52"/>
      <c r="F47" s="52"/>
      <c r="G47" s="52"/>
      <c r="H47" s="52"/>
      <c r="I47" s="52"/>
      <c r="J47" s="52"/>
      <c r="K47" s="52"/>
      <c r="L47" s="52"/>
    </row>
    <row r="48" ht="13.8" spans="1:12">
      <c r="A48" s="64"/>
      <c r="B48" s="87"/>
      <c r="C48" s="92"/>
      <c r="E48" s="52"/>
      <c r="F48" s="52"/>
      <c r="G48" s="52"/>
      <c r="H48" s="52"/>
      <c r="I48" s="52"/>
      <c r="J48" s="52"/>
      <c r="K48" s="52"/>
      <c r="L48" s="52"/>
    </row>
    <row r="49" ht="13.8" spans="1:12">
      <c r="A49" s="64"/>
      <c r="B49" s="93"/>
      <c r="C49" s="64"/>
      <c r="E49" s="52"/>
      <c r="F49" s="52"/>
      <c r="G49" s="52"/>
      <c r="H49" s="52"/>
      <c r="I49" s="52"/>
      <c r="J49" s="52"/>
      <c r="K49" s="52"/>
      <c r="L49" s="52"/>
    </row>
    <row r="50" ht="13.8" spans="1:12">
      <c r="A50" s="64"/>
      <c r="B50" s="87"/>
      <c r="C50" s="92"/>
      <c r="E50" s="52"/>
      <c r="F50" s="52"/>
      <c r="G50" s="52"/>
      <c r="H50" s="52"/>
      <c r="I50" s="52"/>
      <c r="J50" s="52"/>
      <c r="K50" s="52"/>
      <c r="L50" s="52"/>
    </row>
    <row r="51" ht="13.8" spans="1:12">
      <c r="A51" s="64"/>
      <c r="B51" s="93"/>
      <c r="C51" s="64"/>
      <c r="E51" s="52"/>
      <c r="F51" s="52"/>
      <c r="G51" s="52"/>
      <c r="H51" s="52"/>
      <c r="I51" s="52"/>
      <c r="J51" s="52"/>
      <c r="K51" s="52"/>
      <c r="L51" s="52"/>
    </row>
    <row r="52" ht="13.8" spans="1:12">
      <c r="A52" s="64"/>
      <c r="B52" s="87"/>
      <c r="C52" s="92"/>
      <c r="E52" s="52"/>
      <c r="F52" s="52"/>
      <c r="G52" s="52"/>
      <c r="H52" s="52"/>
      <c r="I52" s="52"/>
      <c r="J52" s="52"/>
      <c r="K52" s="52"/>
      <c r="L52" s="52"/>
    </row>
    <row r="53" ht="16.8" spans="1:12">
      <c r="A53" s="90"/>
      <c r="B53" s="52"/>
      <c r="C53" s="52"/>
      <c r="E53" s="52"/>
      <c r="F53" s="52"/>
      <c r="G53" s="52"/>
      <c r="H53" s="52"/>
      <c r="I53" s="52"/>
      <c r="J53" s="52"/>
      <c r="K53" s="52"/>
      <c r="L53" s="52"/>
    </row>
    <row r="54" spans="1:12">
      <c r="A54" s="52"/>
      <c r="B54" s="52"/>
      <c r="C54" s="52"/>
      <c r="E54" s="52"/>
      <c r="F54" s="52"/>
      <c r="G54" s="52"/>
      <c r="H54" s="52"/>
      <c r="I54" s="52"/>
      <c r="J54" s="52"/>
      <c r="K54" s="52"/>
      <c r="L54" s="52"/>
    </row>
    <row r="55" spans="1:12">
      <c r="A55" s="52"/>
      <c r="B55" s="52"/>
      <c r="C55" s="52"/>
      <c r="E55" s="52"/>
      <c r="F55" s="52"/>
      <c r="G55" s="52"/>
      <c r="H55" s="52"/>
      <c r="I55" s="52"/>
      <c r="J55" s="52"/>
      <c r="K55" s="52"/>
      <c r="L55" s="52"/>
    </row>
    <row r="56" spans="1:12">
      <c r="A56" s="94"/>
      <c r="B56" s="52"/>
      <c r="C56" s="52"/>
      <c r="E56" s="52"/>
      <c r="F56" s="52"/>
      <c r="G56" s="52"/>
      <c r="H56" s="52"/>
      <c r="I56" s="52"/>
      <c r="J56" s="52"/>
      <c r="K56" s="52"/>
      <c r="L56" s="52"/>
    </row>
    <row r="57" spans="1:5">
      <c r="A57" s="52"/>
      <c r="B57" s="52"/>
      <c r="C57" s="52"/>
      <c r="E57" s="52"/>
    </row>
    <row r="58" spans="1:5">
      <c r="A58" s="52"/>
      <c r="B58" s="52"/>
      <c r="C58" s="52"/>
      <c r="E58" s="52"/>
    </row>
    <row r="59" spans="1:5">
      <c r="A59" s="52"/>
      <c r="B59" s="52"/>
      <c r="C59" s="52"/>
      <c r="E59" s="52"/>
    </row>
    <row r="60" spans="1:5">
      <c r="A60" s="52"/>
      <c r="B60" s="52"/>
      <c r="C60" s="52"/>
      <c r="E60" s="52"/>
    </row>
    <row r="61" spans="1:5">
      <c r="A61" s="52"/>
      <c r="B61" s="52"/>
      <c r="C61" s="52"/>
      <c r="E61" s="52"/>
    </row>
    <row r="62" spans="1:5">
      <c r="A62" s="52"/>
      <c r="B62" s="52"/>
      <c r="C62" s="52"/>
      <c r="E62" s="52"/>
    </row>
    <row r="63" spans="1:5">
      <c r="A63" s="52"/>
      <c r="B63" s="52"/>
      <c r="C63" s="52"/>
      <c r="E63" s="52"/>
    </row>
    <row r="64" spans="1:5">
      <c r="A64" s="52"/>
      <c r="B64" s="52"/>
      <c r="C64" s="52"/>
      <c r="E64" s="52"/>
    </row>
    <row r="65" spans="1:5">
      <c r="A65" s="52"/>
      <c r="B65" s="52"/>
      <c r="C65" s="52"/>
      <c r="E65" s="52"/>
    </row>
  </sheetData>
  <mergeCells count="1">
    <mergeCell ref="A4:C4"/>
  </mergeCells>
  <pageMargins left="0.905511811023622" right="0.511811023622047" top="0.748031496062992" bottom="0.748031496062992" header="0.31496062992126" footer="0.31496062992126"/>
  <pageSetup paperSize="9" orientation="portrait" verticalDpi="597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11" workbookViewId="0">
      <selection activeCell="B11" sqref="B11:C39"/>
    </sheetView>
  </sheetViews>
  <sheetFormatPr defaultColWidth="9" defaultRowHeight="13.2"/>
  <cols>
    <col min="1" max="1" width="8.57407407407407" style="3" customWidth="1"/>
    <col min="2" max="2" width="67.1388888888889" style="3" customWidth="1"/>
    <col min="3" max="3" width="13.712962962963" style="3" customWidth="1"/>
    <col min="4" max="4" width="10.287037037037" style="3" hidden="1" customWidth="1"/>
    <col min="5" max="5" width="13.712962962963" style="3" hidden="1" customWidth="1"/>
    <col min="6" max="6" width="14.4259259259259" style="3" hidden="1" customWidth="1"/>
    <col min="7" max="7" width="12.712962962963" style="3" hidden="1" customWidth="1"/>
    <col min="8" max="8" width="4.42592592592593" style="3" hidden="1" customWidth="1"/>
    <col min="9" max="9" width="6.85185185185185" style="3" hidden="1" customWidth="1"/>
    <col min="10" max="10" width="3.28703703703704" style="3" hidden="1" customWidth="1"/>
    <col min="11" max="11" width="9" style="3" hidden="1" customWidth="1"/>
    <col min="12" max="16384" width="9.13888888888889" style="3"/>
  </cols>
  <sheetData>
    <row r="1" spans="1:1">
      <c r="A1" s="2" t="s">
        <v>306</v>
      </c>
    </row>
    <row r="3" spans="1:1">
      <c r="A3" s="3" t="s">
        <v>307</v>
      </c>
    </row>
    <row r="4" spans="1:1">
      <c r="A4" s="3" t="s">
        <v>308</v>
      </c>
    </row>
    <row r="5" ht="25.5" customHeight="1" spans="1:3">
      <c r="A5" s="51" t="s">
        <v>309</v>
      </c>
      <c r="B5" s="51"/>
      <c r="C5" s="51"/>
    </row>
    <row r="6" spans="1:1">
      <c r="A6" s="3" t="s">
        <v>310</v>
      </c>
    </row>
    <row r="7" ht="26.25" customHeight="1" spans="1:3">
      <c r="A7" s="51" t="s">
        <v>311</v>
      </c>
      <c r="B7" s="51"/>
      <c r="C7" s="51"/>
    </row>
    <row r="8" spans="1:1">
      <c r="A8" s="3" t="s">
        <v>312</v>
      </c>
    </row>
    <row r="9" spans="1:1">
      <c r="A9" s="3" t="s">
        <v>313</v>
      </c>
    </row>
    <row r="11" ht="17.4" spans="2:3">
      <c r="B11" s="8" t="s">
        <v>314</v>
      </c>
      <c r="C11" s="8"/>
    </row>
    <row r="12" ht="13.8" spans="1:3">
      <c r="A12" s="52"/>
      <c r="B12" s="53" t="s">
        <v>315</v>
      </c>
      <c r="C12" s="13"/>
    </row>
    <row r="13" ht="13.8" spans="1:3">
      <c r="A13" s="52"/>
      <c r="B13" s="53" t="s">
        <v>316</v>
      </c>
      <c r="C13" s="54">
        <v>2100</v>
      </c>
    </row>
    <row r="14" ht="13.8" spans="1:3">
      <c r="A14" s="52"/>
      <c r="B14" s="53" t="s">
        <v>317</v>
      </c>
      <c r="C14" s="54">
        <v>2031</v>
      </c>
    </row>
    <row r="15" ht="13.8" spans="1:3">
      <c r="A15" s="52"/>
      <c r="B15" s="13" t="s">
        <v>318</v>
      </c>
      <c r="C15" s="12">
        <v>44</v>
      </c>
    </row>
    <row r="16" ht="13.8" spans="1:3">
      <c r="A16" s="52"/>
      <c r="B16" s="13" t="s">
        <v>319</v>
      </c>
      <c r="C16" s="12">
        <v>1192</v>
      </c>
    </row>
    <row r="17" ht="13.8" spans="1:3">
      <c r="A17" s="52"/>
      <c r="B17" s="13" t="s">
        <v>320</v>
      </c>
      <c r="C17" s="12">
        <v>372</v>
      </c>
    </row>
    <row r="18" ht="13.8" spans="1:3">
      <c r="A18" s="52"/>
      <c r="B18" s="13" t="s">
        <v>321</v>
      </c>
      <c r="C18" s="12">
        <v>22</v>
      </c>
    </row>
    <row r="19" ht="13.8" spans="1:3">
      <c r="A19" s="52"/>
      <c r="B19" s="13" t="s">
        <v>322</v>
      </c>
      <c r="C19" s="12">
        <v>350</v>
      </c>
    </row>
    <row r="20" ht="13.8" spans="1:3">
      <c r="A20" s="52"/>
      <c r="B20" s="13" t="s">
        <v>323</v>
      </c>
      <c r="C20" s="12">
        <v>1</v>
      </c>
    </row>
    <row r="21" ht="13.8" spans="1:3">
      <c r="A21" s="52"/>
      <c r="B21" s="13" t="s">
        <v>324</v>
      </c>
      <c r="C21" s="12">
        <v>30</v>
      </c>
    </row>
    <row r="22" ht="13.8" spans="1:3">
      <c r="A22" s="52"/>
      <c r="B22" s="13" t="s">
        <v>325</v>
      </c>
      <c r="C22" s="12">
        <v>0</v>
      </c>
    </row>
    <row r="23" ht="13.8" spans="1:3">
      <c r="A23" s="52"/>
      <c r="B23" s="13" t="s">
        <v>326</v>
      </c>
      <c r="C23" s="12">
        <v>0</v>
      </c>
    </row>
    <row r="24" ht="13.8" spans="1:3">
      <c r="A24" s="52" t="s">
        <v>327</v>
      </c>
      <c r="B24" s="53" t="s">
        <v>328</v>
      </c>
      <c r="C24" s="13"/>
    </row>
    <row r="25" ht="13.8" spans="1:3">
      <c r="A25" s="52"/>
      <c r="B25" s="13" t="s">
        <v>329</v>
      </c>
      <c r="C25" s="12">
        <v>4625</v>
      </c>
    </row>
    <row r="26" ht="13.8" spans="1:3">
      <c r="A26" s="52"/>
      <c r="B26" s="13" t="s">
        <v>330</v>
      </c>
      <c r="C26" s="12">
        <v>4694</v>
      </c>
    </row>
    <row r="27" ht="13.8" spans="2:3">
      <c r="B27" s="13" t="s">
        <v>331</v>
      </c>
      <c r="C27" s="12">
        <v>69</v>
      </c>
    </row>
    <row r="28" ht="13.8" spans="2:3">
      <c r="B28" s="13"/>
      <c r="C28" s="13"/>
    </row>
    <row r="29" ht="13.8" spans="2:7">
      <c r="B29" s="53" t="s">
        <v>332</v>
      </c>
      <c r="C29" s="55">
        <v>4659.5</v>
      </c>
      <c r="G29" s="3">
        <f>12/C29</f>
        <v>0.00257538362485245</v>
      </c>
    </row>
    <row r="30" ht="13.8" spans="2:3">
      <c r="B30" s="53" t="s">
        <v>333</v>
      </c>
      <c r="C30" s="56">
        <v>25.58</v>
      </c>
    </row>
    <row r="31" ht="13.8" spans="2:3">
      <c r="B31" s="53" t="s">
        <v>334</v>
      </c>
      <c r="C31" s="53">
        <v>44.33</v>
      </c>
    </row>
    <row r="32" ht="13.8" spans="2:3">
      <c r="B32" s="53" t="s">
        <v>335</v>
      </c>
      <c r="C32" s="53">
        <v>27.0704</v>
      </c>
    </row>
    <row r="33" ht="13.8" spans="2:3">
      <c r="B33" s="53" t="s">
        <v>336</v>
      </c>
      <c r="C33" s="53">
        <v>360</v>
      </c>
    </row>
    <row r="34" ht="13.8" spans="2:3">
      <c r="B34" s="53" t="s">
        <v>337</v>
      </c>
      <c r="C34" s="53">
        <v>10</v>
      </c>
    </row>
    <row r="35" ht="13.8" spans="2:7">
      <c r="B35" s="53" t="s">
        <v>338</v>
      </c>
      <c r="C35" s="53">
        <v>30</v>
      </c>
      <c r="G35" s="3">
        <f>TRUNC(G40)</f>
        <v>0</v>
      </c>
    </row>
    <row r="36" ht="13.8" spans="2:3">
      <c r="B36" s="53" t="s">
        <v>339</v>
      </c>
      <c r="C36" s="53">
        <v>30</v>
      </c>
    </row>
    <row r="37" s="2" customFormat="1" ht="13.8" spans="2:3">
      <c r="B37" s="53" t="s">
        <v>340</v>
      </c>
      <c r="C37" s="10">
        <v>36</v>
      </c>
    </row>
    <row r="38" s="2" customFormat="1" ht="13.8" spans="2:11">
      <c r="B38" s="53" t="s">
        <v>270</v>
      </c>
      <c r="C38" s="57">
        <v>0.08</v>
      </c>
      <c r="K38" s="2">
        <f>IF(C42&gt;12,C42-12,C42)</f>
        <v>0</v>
      </c>
    </row>
    <row r="39" s="2" customFormat="1" ht="13.8" spans="2:11">
      <c r="B39" s="53" t="s">
        <v>341</v>
      </c>
      <c r="C39" s="57">
        <v>0.4</v>
      </c>
      <c r="K39" s="2" t="e">
        <f>IF(#REF!&gt;12,#REF!-12,#REF!)</f>
        <v>#REF!</v>
      </c>
    </row>
    <row r="40" s="2" customFormat="1" ht="13.8" spans="2:11">
      <c r="B40" s="58"/>
      <c r="C40" s="59"/>
      <c r="D40" s="2">
        <f>TRUNC(E40)</f>
        <v>0</v>
      </c>
      <c r="E40" s="2">
        <f>1/C29</f>
        <v>0.000214615302071038</v>
      </c>
      <c r="F40" s="2">
        <f>((1/C29)-TRUNC(E40))</f>
        <v>0.000214615302071038</v>
      </c>
      <c r="G40" s="2">
        <f>12*F40</f>
        <v>0.00257538362485245</v>
      </c>
      <c r="K40" s="2" t="e">
        <f>IF(#REF!&gt;12,#REF!-12,#REF!)</f>
        <v>#REF!</v>
      </c>
    </row>
    <row r="41" s="2" customFormat="1" ht="13.8" spans="2:11">
      <c r="B41" s="60"/>
      <c r="C41" s="58"/>
      <c r="D41" s="2">
        <f>3*D40</f>
        <v>0</v>
      </c>
      <c r="G41" s="2">
        <f>G40/12*40/360</f>
        <v>2.38461446745597e-5</v>
      </c>
      <c r="K41" s="2" t="e">
        <f>IF(#REF!&gt;12,#REF!-12,#REF!)</f>
        <v>#REF!</v>
      </c>
    </row>
    <row r="42" s="2" customFormat="1" ht="13.8" spans="2:11">
      <c r="B42" s="58"/>
      <c r="C42" s="59"/>
      <c r="K42" s="2" t="e">
        <f>IF(#REF!&gt;12,#REF!-12,#REF!)</f>
        <v>#REF!</v>
      </c>
    </row>
    <row r="43" spans="11:11">
      <c r="K43" s="3" t="e">
        <f t="shared" ref="K43:K44" si="0">IF(K42&gt;12,K42-12,K42)</f>
        <v>#REF!</v>
      </c>
    </row>
    <row r="44" spans="11:11">
      <c r="K44" s="3" t="e">
        <f t="shared" si="0"/>
        <v>#REF!</v>
      </c>
    </row>
  </sheetData>
  <mergeCells count="3">
    <mergeCell ref="A5:C5"/>
    <mergeCell ref="A7:C7"/>
    <mergeCell ref="B11:C11"/>
  </mergeCells>
  <pageMargins left="0.905511811023622" right="0.511811023622047" top="0.748031496062992" bottom="0.748031496062992" header="0.31496062992126" footer="0.31496062992126"/>
  <pageSetup paperSize="9" scale="98" orientation="portrait" verticalDpi="597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:F19"/>
    </sheetView>
  </sheetViews>
  <sheetFormatPr defaultColWidth="9" defaultRowHeight="13.2" outlineLevelCol="7"/>
  <cols>
    <col min="1" max="1" width="41.8518518518519" customWidth="1"/>
    <col min="2" max="2" width="5.57407407407407" customWidth="1"/>
    <col min="4" max="4" width="9.71296296296296" customWidth="1"/>
    <col min="5" max="5" width="8" style="29" customWidth="1"/>
    <col min="6" max="6" width="9.71296296296296" customWidth="1"/>
  </cols>
  <sheetData>
    <row r="1" s="28" customFormat="1" ht="13.8" spans="1:6">
      <c r="A1" s="4" t="s">
        <v>11</v>
      </c>
      <c r="B1" s="30"/>
      <c r="C1" s="30"/>
      <c r="D1" s="13"/>
      <c r="E1" s="31"/>
      <c r="F1" s="13"/>
    </row>
    <row r="2" s="28" customFormat="1" ht="13.8" spans="1:6">
      <c r="A2" s="6" t="s">
        <v>342</v>
      </c>
      <c r="B2" s="30"/>
      <c r="C2" s="30"/>
      <c r="D2" s="13"/>
      <c r="E2" s="31"/>
      <c r="F2" s="13"/>
    </row>
    <row r="3" s="28" customFormat="1" ht="13.8" spans="1:6">
      <c r="A3" s="7" t="s">
        <v>13</v>
      </c>
      <c r="B3" s="30"/>
      <c r="C3" s="30"/>
      <c r="D3" s="13"/>
      <c r="E3" s="31"/>
      <c r="F3" s="13"/>
    </row>
    <row r="4" s="28" customFormat="1" ht="13.8" spans="1:6">
      <c r="A4" s="6"/>
      <c r="B4" s="30"/>
      <c r="C4" s="30"/>
      <c r="D4" s="13"/>
      <c r="E4" s="31"/>
      <c r="F4" s="13"/>
    </row>
    <row r="5" s="28" customFormat="1" ht="13.8" spans="1:6">
      <c r="A5" s="13"/>
      <c r="B5" s="30"/>
      <c r="C5" s="30"/>
      <c r="D5" s="13"/>
      <c r="E5" s="31"/>
      <c r="F5" s="13"/>
    </row>
    <row r="6" ht="15.6" spans="1:6">
      <c r="A6" s="23" t="s">
        <v>343</v>
      </c>
      <c r="B6" s="23"/>
      <c r="C6" s="23"/>
      <c r="D6" s="23"/>
      <c r="E6" s="23"/>
      <c r="F6" s="23"/>
    </row>
    <row r="7" ht="15.6" spans="1:6">
      <c r="A7" s="32"/>
      <c r="B7" s="32"/>
      <c r="C7" s="32"/>
      <c r="D7" s="32"/>
      <c r="E7" s="32"/>
      <c r="F7" s="32"/>
    </row>
    <row r="8" ht="13.8" spans="1:8">
      <c r="A8" s="33"/>
      <c r="B8" s="30"/>
      <c r="C8" s="30"/>
      <c r="D8" s="34" t="s">
        <v>344</v>
      </c>
      <c r="E8" s="34"/>
      <c r="F8" s="34"/>
      <c r="G8" s="28"/>
      <c r="H8" s="28"/>
    </row>
    <row r="9" ht="13.8" spans="1:8">
      <c r="A9" s="13"/>
      <c r="B9" s="13"/>
      <c r="C9" s="13"/>
      <c r="D9" s="35" t="s">
        <v>345</v>
      </c>
      <c r="E9" s="36" t="s">
        <v>346</v>
      </c>
      <c r="F9" s="35" t="s">
        <v>347</v>
      </c>
      <c r="G9" s="28"/>
      <c r="H9" s="28"/>
    </row>
    <row r="10" ht="13.8" spans="1:8">
      <c r="A10" s="37" t="s">
        <v>348</v>
      </c>
      <c r="B10" s="38" t="s">
        <v>349</v>
      </c>
      <c r="C10" s="39">
        <v>0.0508</v>
      </c>
      <c r="D10" s="40">
        <v>0.0297</v>
      </c>
      <c r="E10" s="40">
        <v>0.0508</v>
      </c>
      <c r="F10" s="40">
        <v>0.0627</v>
      </c>
      <c r="G10" s="28"/>
      <c r="H10" s="28"/>
    </row>
    <row r="11" ht="13.8" spans="1:8">
      <c r="A11" s="37" t="s">
        <v>350</v>
      </c>
      <c r="B11" s="38" t="s">
        <v>351</v>
      </c>
      <c r="C11" s="39">
        <v>0.0133</v>
      </c>
      <c r="D11" s="40">
        <f>0.3%+0.56%</f>
        <v>0.0086</v>
      </c>
      <c r="E11" s="40">
        <f>0.48%+0.85%</f>
        <v>0.0133</v>
      </c>
      <c r="F11" s="40">
        <f>0.82%+0.89%</f>
        <v>0.0171</v>
      </c>
      <c r="G11" s="28"/>
      <c r="H11" s="28"/>
    </row>
    <row r="12" ht="13.8" spans="1:8">
      <c r="A12" s="37" t="s">
        <v>352</v>
      </c>
      <c r="B12" s="38" t="s">
        <v>353</v>
      </c>
      <c r="C12" s="39">
        <v>0.1085</v>
      </c>
      <c r="D12" s="40">
        <v>0.0778</v>
      </c>
      <c r="E12" s="40">
        <v>0.1085</v>
      </c>
      <c r="F12" s="40">
        <v>0.1355</v>
      </c>
      <c r="G12" s="28"/>
      <c r="H12" s="28"/>
    </row>
    <row r="13" ht="13.8" spans="1:8">
      <c r="A13" s="37" t="s">
        <v>354</v>
      </c>
      <c r="B13" s="38" t="s">
        <v>355</v>
      </c>
      <c r="C13" s="41">
        <f>(1+E13)^(E14/252)-1</f>
        <v>0.00512550624454922</v>
      </c>
      <c r="D13" s="40" t="s">
        <v>356</v>
      </c>
      <c r="E13" s="42">
        <v>0.1375</v>
      </c>
      <c r="F13" s="43"/>
      <c r="G13" s="28"/>
      <c r="H13" s="28"/>
    </row>
    <row r="14" ht="13.8" spans="1:8">
      <c r="A14" s="37" t="s">
        <v>357</v>
      </c>
      <c r="B14" s="38" t="s">
        <v>358</v>
      </c>
      <c r="C14" s="39">
        <v>0.03</v>
      </c>
      <c r="D14" s="44" t="s">
        <v>359</v>
      </c>
      <c r="E14" s="45">
        <v>10</v>
      </c>
      <c r="F14" s="13"/>
      <c r="G14" s="28"/>
      <c r="H14" s="28"/>
    </row>
    <row r="15" ht="13.8" spans="1:8">
      <c r="A15" s="37" t="s">
        <v>360</v>
      </c>
      <c r="B15" s="38"/>
      <c r="C15" s="39">
        <v>0.0365</v>
      </c>
      <c r="D15" s="13"/>
      <c r="E15" s="31"/>
      <c r="F15" s="13"/>
      <c r="G15" s="28"/>
      <c r="H15" s="28"/>
    </row>
    <row r="16" ht="13.8" spans="1:8">
      <c r="A16" s="30" t="s">
        <v>361</v>
      </c>
      <c r="B16" s="30"/>
      <c r="C16" s="46"/>
      <c r="D16" s="13"/>
      <c r="E16" s="31"/>
      <c r="F16" s="13"/>
      <c r="G16" s="28"/>
      <c r="H16" s="28"/>
    </row>
    <row r="17" ht="13.8" spans="1:8">
      <c r="A17" s="37" t="s">
        <v>362</v>
      </c>
      <c r="B17" s="37"/>
      <c r="C17" s="30"/>
      <c r="D17" s="13"/>
      <c r="E17" s="31"/>
      <c r="F17" s="13"/>
      <c r="G17" s="28"/>
      <c r="H17" s="28"/>
    </row>
    <row r="18" ht="13.8" spans="1:8">
      <c r="A18" s="47" t="s">
        <v>363</v>
      </c>
      <c r="B18" s="48"/>
      <c r="C18" s="49">
        <f>ROUND((((1+C10+C11)*(1+C12)*(1+C13))/(1-(C14+C15))-1),4)</f>
        <v>0.2701</v>
      </c>
      <c r="D18" s="40">
        <v>0.2143</v>
      </c>
      <c r="E18" s="40">
        <v>0.2717</v>
      </c>
      <c r="F18" s="40">
        <v>0.3362</v>
      </c>
      <c r="G18" s="28"/>
      <c r="H18" s="28"/>
    </row>
    <row r="19" ht="13.8" spans="1:8">
      <c r="A19" s="13"/>
      <c r="B19" s="13"/>
      <c r="C19" s="13"/>
      <c r="D19" s="13"/>
      <c r="E19" s="31"/>
      <c r="F19" s="13"/>
      <c r="G19" s="28"/>
      <c r="H19" s="28"/>
    </row>
    <row r="20" ht="13.8" spans="1:8">
      <c r="A20" s="28"/>
      <c r="B20" s="28"/>
      <c r="C20" s="28"/>
      <c r="D20" s="28"/>
      <c r="E20" s="50"/>
      <c r="F20" s="28"/>
      <c r="G20" s="28"/>
      <c r="H20" s="28"/>
    </row>
    <row r="21" ht="13.8" spans="1:8">
      <c r="A21" s="28"/>
      <c r="B21" s="28"/>
      <c r="C21" s="28"/>
      <c r="D21" s="28"/>
      <c r="E21" s="50"/>
      <c r="F21" s="28"/>
      <c r="G21" s="28"/>
      <c r="H21" s="28"/>
    </row>
    <row r="22" ht="13.8" spans="1:8">
      <c r="A22" s="28"/>
      <c r="B22" s="28"/>
      <c r="C22" s="28"/>
      <c r="D22" s="28"/>
      <c r="E22" s="50"/>
      <c r="F22" s="28"/>
      <c r="G22" s="28"/>
      <c r="H22" s="28"/>
    </row>
  </sheetData>
  <mergeCells count="3">
    <mergeCell ref="A6:F6"/>
    <mergeCell ref="D8:F8"/>
    <mergeCell ref="B14:B15"/>
  </mergeCells>
  <pageMargins left="0.905511811023622" right="0.511811023622047" top="0.748031496062992" bottom="0.748031496062992" header="0.31496062992126" footer="0.31496062992126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F12" sqref="F12"/>
    </sheetView>
  </sheetViews>
  <sheetFormatPr defaultColWidth="9" defaultRowHeight="19.5" customHeight="1" outlineLevelCol="1"/>
  <cols>
    <col min="1" max="1" width="24.5740740740741" style="3" customWidth="1"/>
    <col min="2" max="2" width="20.8518518518519" style="3" customWidth="1"/>
    <col min="3" max="16384" width="9.13888888888889" style="3"/>
  </cols>
  <sheetData>
    <row r="1" customHeight="1" spans="1:2">
      <c r="A1" s="23" t="s">
        <v>364</v>
      </c>
      <c r="B1" s="23"/>
    </row>
    <row r="2" s="2" customFormat="1" customHeight="1" spans="1:2">
      <c r="A2" s="24" t="s">
        <v>365</v>
      </c>
      <c r="B2" s="25" t="s">
        <v>366</v>
      </c>
    </row>
    <row r="3" customHeight="1" spans="1:2">
      <c r="A3" s="26">
        <v>1</v>
      </c>
      <c r="B3" s="27">
        <v>33.63</v>
      </c>
    </row>
    <row r="4" customHeight="1" spans="1:2">
      <c r="A4" s="26">
        <v>2</v>
      </c>
      <c r="B4" s="27">
        <v>43.13</v>
      </c>
    </row>
    <row r="5" customHeight="1" spans="1:2">
      <c r="A5" s="26">
        <v>3</v>
      </c>
      <c r="B5" s="27">
        <v>48.68</v>
      </c>
    </row>
    <row r="6" customHeight="1" spans="1:2">
      <c r="A6" s="26">
        <v>4</v>
      </c>
      <c r="B6" s="27">
        <v>52.62</v>
      </c>
    </row>
    <row r="7" customHeight="1" spans="1:2">
      <c r="A7" s="26">
        <v>5</v>
      </c>
      <c r="B7" s="27">
        <v>55.68</v>
      </c>
    </row>
    <row r="8" customHeight="1" spans="1:2">
      <c r="A8" s="26">
        <v>6</v>
      </c>
      <c r="B8" s="27">
        <v>58.18</v>
      </c>
    </row>
    <row r="9" customHeight="1" spans="1:2">
      <c r="A9" s="26">
        <v>7</v>
      </c>
      <c r="B9" s="27">
        <v>60.29</v>
      </c>
    </row>
    <row r="10" customHeight="1" spans="1:2">
      <c r="A10" s="26">
        <v>8</v>
      </c>
      <c r="B10" s="27">
        <v>62.12</v>
      </c>
    </row>
    <row r="11" customHeight="1" spans="1:2">
      <c r="A11" s="26">
        <v>9</v>
      </c>
      <c r="B11" s="27">
        <v>63.73</v>
      </c>
    </row>
    <row r="12" customHeight="1" spans="1:2">
      <c r="A12" s="26">
        <v>10</v>
      </c>
      <c r="B12" s="27">
        <v>65.18</v>
      </c>
    </row>
    <row r="13" customHeight="1" spans="1:2">
      <c r="A13" s="26">
        <v>11</v>
      </c>
      <c r="B13" s="27">
        <v>66.48</v>
      </c>
    </row>
    <row r="14" customHeight="1" spans="1:2">
      <c r="A14" s="26">
        <v>12</v>
      </c>
      <c r="B14" s="27">
        <v>67.67</v>
      </c>
    </row>
    <row r="15" customHeight="1" spans="1:2">
      <c r="A15" s="26">
        <v>13</v>
      </c>
      <c r="B15" s="27">
        <v>68.77</v>
      </c>
    </row>
    <row r="16" customHeight="1" spans="1:2">
      <c r="A16" s="26">
        <v>14</v>
      </c>
      <c r="B16" s="27">
        <v>69.79</v>
      </c>
    </row>
    <row r="17" customHeight="1" spans="1:2">
      <c r="A17" s="26">
        <v>15</v>
      </c>
      <c r="B17" s="27">
        <v>70.73</v>
      </c>
    </row>
  </sheetData>
  <mergeCells count="1">
    <mergeCell ref="A1:B1"/>
  </mergeCells>
  <pageMargins left="0.905511811023622" right="0.511811023622047" top="0.748031496062992" bottom="0.748031496062992" header="0.31496062992126" footer="0.31496062992126"/>
  <pageSetup paperSize="9" orientation="portrait" verticalDpi="597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3">
    <comment s:ref="A4" rgbClr="06C6B0"/>
  </commentList>
  <commentList sheetStid="2">
    <comment s:ref="D142" rgbClr="5EC7F4"/>
    <comment s:ref="D143" rgbClr="5EC7F4"/>
    <comment s:ref="D148" rgbClr="5EC7F4"/>
    <comment s:ref="D149" rgbClr="5EC7F4"/>
    <comment s:ref="C239" rgbClr="06C6A8"/>
    <comment s:ref="D239" rgbClr="06C6A8"/>
    <comment s:ref="C243" rgbClr="B6C950"/>
    <comment s:ref="C245" rgbClr="B6C950"/>
    <comment s:ref="C247" rgbClr="B6C950"/>
    <comment s:ref="C273" rgbClr="B6C9C0"/>
    <comment s:ref="C274" rgbClr="B6C9C0"/>
    <comment s:ref="C275" rgbClr="B6C9C0"/>
    <comment s:ref="C276" rgbClr="B6C9C0"/>
    <comment s:ref="A292" rgbClr="06C6A8"/>
    <comment s:ref="D295" rgbClr="06C6A8"/>
  </commentList>
  <commentList sheetStid="10">
    <comment s:ref="A11" rgbClr="06C6B0"/>
    <comment s:ref="B50" rgbClr="06C6B0"/>
    <comment s:ref="D56" rgbClr="06C6B0"/>
    <comment s:ref="C57" rgbClr="06C6B0"/>
    <comment s:ref="C58" rgbClr="06C6B0"/>
    <comment s:ref="A59" rgbClr="06C6B0"/>
    <comment s:ref="C62" rgbClr="06C6B0"/>
    <comment s:ref="C64" rgbClr="06C6B0"/>
    <comment s:ref="D69" rgbClr="06C6B0"/>
    <comment s:ref="D70" rgbClr="06C6B0"/>
    <comment s:ref="C71" rgbClr="06C6B0"/>
    <comment s:ref="C72" rgbClr="06C6B0"/>
    <comment s:ref="A73" rgbClr="06C6B0"/>
    <comment s:ref="C74" rgbClr="06C6B0"/>
    <comment s:ref="C75" rgbClr="06C6B0"/>
    <comment s:ref="C77" rgbClr="06C6B0"/>
    <comment s:ref="C79" rgbClr="06C6B0"/>
    <comment s:ref="D85" rgbClr="06C6B0"/>
    <comment s:ref="C86" rgbClr="06C6B0"/>
    <comment s:ref="D87" rgbClr="06C6B0"/>
    <comment s:ref="D88" rgbClr="06C6B0"/>
    <comment s:ref="D93" rgbClr="06C6B0"/>
    <comment s:ref="D94" rgbClr="06C6B0"/>
    <comment s:ref="D99" rgbClr="06C6B0"/>
    <comment s:ref="D100" rgbClr="06C6B0"/>
    <comment s:ref="D105" rgbClr="5EC7F4"/>
    <comment s:ref="D106" rgbClr="5EC7F4"/>
    <comment s:ref="D111" rgbClr="5EC7F4"/>
    <comment s:ref="D112" rgbClr="5EC7F4"/>
    <comment s:ref="C122" rgbClr="5EC7F4"/>
    <comment s:ref="D122" rgbClr="5EC7F4"/>
    <comment s:ref="C123" rgbClr="5EC7F4"/>
    <comment s:ref="D123" rgbClr="5EC7F4"/>
    <comment s:ref="C124" rgbClr="5EC7F4"/>
    <comment s:ref="D124" rgbClr="5EC7F4"/>
    <comment s:ref="C125" rgbClr="5EC7F4"/>
    <comment s:ref="D125" rgbClr="5EC7F4"/>
    <comment s:ref="C126" rgbClr="5EC7F4"/>
    <comment s:ref="D126" rgbClr="5EC7F4"/>
    <comment s:ref="C127" rgbClr="5EC7F4"/>
    <comment s:ref="D127" rgbClr="5EC7F4"/>
    <comment s:ref="C128" rgbClr="5EC7F4"/>
    <comment s:ref="D128" rgbClr="5EC7F4"/>
    <comment s:ref="C129" rgbClr="5EC7F4"/>
    <comment s:ref="D129" rgbClr="5EC7F4"/>
    <comment s:ref="C130" rgbClr="5EC7F4"/>
    <comment s:ref="D130" rgbClr="5EC7F4"/>
    <comment s:ref="C131" rgbClr="5EC7F4"/>
    <comment s:ref="D131" rgbClr="5EC7F4"/>
    <comment s:ref="D132" rgbClr="5EC7F4"/>
    <comment s:ref="C139" rgbClr="5EC7F4"/>
    <comment s:ref="C140" rgbClr="5EC7F4"/>
    <comment s:ref="C141" rgbClr="5EC7F4"/>
    <comment s:ref="C142" rgbClr="5EC7F4"/>
    <comment s:ref="C143" rgbClr="5EC7F4"/>
    <comment s:ref="C144" rgbClr="5EC7F4"/>
    <comment s:ref="D145" rgbClr="5EC7F4"/>
    <comment s:ref="D157" rgbClr="5EC7F4"/>
    <comment s:ref="C158" rgbClr="5EC7F4"/>
    <comment s:ref="C159" rgbClr="5EC7F4"/>
    <comment s:ref="C160" rgbClr="5EC7F4"/>
    <comment s:ref="C163" rgbClr="5EC7F4"/>
    <comment s:ref="C169" rgbClr="5EC7F4"/>
    <comment s:ref="D180" rgbClr="5EC7F4"/>
    <comment s:ref="D181" rgbClr="5EC7F4"/>
    <comment s:ref="B187" rgbClr="5EC7F4"/>
    <comment s:ref="C190" rgbClr="B3C488"/>
    <comment s:ref="D190" rgbClr="B3C488"/>
    <comment s:ref="C192" rgbClr="06C6A8"/>
    <comment s:ref="D192" rgbClr="06C6A8"/>
    <comment s:ref="C194" rgbClr="B6C950"/>
    <comment s:ref="D194" rgbClr="B6C950"/>
    <comment s:ref="C196" rgbClr="B6C950"/>
    <comment s:ref="D196" rgbClr="B6C950"/>
    <comment s:ref="C198" rgbClr="B6C950"/>
    <comment s:ref="D198" rgbClr="B6C950"/>
    <comment s:ref="D205" rgbClr="B6C950"/>
    <comment s:ref="C210" rgbClr="B6C950"/>
    <comment s:ref="D210" rgbClr="B6C950"/>
    <comment s:ref="C211" rgbClr="B6C950"/>
    <comment s:ref="D212" rgbClr="B6C950"/>
    <comment s:ref="C213" rgbClr="B6C950"/>
    <comment s:ref="D221" rgbClr="5EC7F4"/>
    <comment s:ref="C222" rgbClr="5EC7F4"/>
    <comment s:ref="C223" rgbClr="5EC7F4"/>
    <comment s:ref="C224" rgbClr="5EC7F4"/>
    <comment s:ref="C227" rgbClr="5EC7F4"/>
    <comment s:ref="C233" rgbClr="5EC7F4"/>
    <comment s:ref="C244" rgbClr="5EC7F4"/>
    <comment s:ref="C254" rgbClr="B6C950"/>
    <comment s:ref="D254" rgbClr="B6C950"/>
    <comment s:ref="C255" rgbClr="B6C9C0"/>
    <comment s:ref="D255" rgbClr="B6C9C0"/>
    <comment s:ref="C256" rgbClr="B6C9C0"/>
    <comment s:ref="D256" rgbClr="B6C9C0"/>
    <comment s:ref="C267" rgbClr="06C6A8"/>
  </commentList>
  <commentList sheetStid="11">
    <comment s:ref="A11" rgbClr="06C6B0"/>
    <comment s:ref="B43" rgbClr="06C6B0"/>
    <comment s:ref="D49" rgbClr="06C6B0"/>
    <comment s:ref="D50" rgbClr="06C6B0"/>
    <comment s:ref="C51" rgbClr="06C6B0"/>
    <comment s:ref="C52" rgbClr="06C6B0"/>
    <comment s:ref="A53" rgbClr="06C6B0"/>
    <comment s:ref="C54" rgbClr="06C6B0"/>
    <comment s:ref="C55" rgbClr="06C6B0"/>
    <comment s:ref="C57" rgbClr="06C6B0"/>
    <comment s:ref="C59" rgbClr="06C6B0"/>
    <comment s:ref="D65" rgbClr="06C6B0"/>
    <comment s:ref="C66" rgbClr="06C6B0"/>
    <comment s:ref="D67" rgbClr="06C6B0"/>
    <comment s:ref="D72" rgbClr="06C6B0"/>
    <comment s:ref="D77" rgbClr="06C6B0"/>
    <comment s:ref="D82" rgbClr="5EC7F4"/>
    <comment s:ref="C92" rgbClr="5EC7F4"/>
    <comment s:ref="D92" rgbClr="5EC7F4"/>
    <comment s:ref="C93" rgbClr="5EC7F4"/>
    <comment s:ref="D93" rgbClr="5EC7F4"/>
    <comment s:ref="C94" rgbClr="5EC7F4"/>
    <comment s:ref="D94" rgbClr="5EC7F4"/>
    <comment s:ref="C95" rgbClr="5EC7F4"/>
    <comment s:ref="D95" rgbClr="5EC7F4"/>
    <comment s:ref="C96" rgbClr="5EC7F4"/>
    <comment s:ref="D96" rgbClr="5EC7F4"/>
    <comment s:ref="C97" rgbClr="5EC7F4"/>
    <comment s:ref="D97" rgbClr="5EC7F4"/>
    <comment s:ref="D98" rgbClr="5EC7F4"/>
    <comment s:ref="D111" rgbClr="EFC348"/>
    <comment s:ref="C112" rgbClr="EFC348"/>
    <comment s:ref="C113" rgbClr="EFC348"/>
    <comment s:ref="C114" rgbClr="EFC348"/>
    <comment s:ref="D116" rgbClr="EFC348"/>
    <comment s:ref="C117" rgbClr="EFC348"/>
    <comment s:ref="C118" rgbClr="EFC348"/>
    <comment s:ref="C119" rgbClr="EFC348"/>
    <comment s:ref="C122" rgbClr="EFC348"/>
    <comment s:ref="C128" rgbClr="5EC7F4"/>
    <comment s:ref="D143" rgbClr="5EC7F4"/>
    <comment s:ref="D144" rgbClr="5EC7F4"/>
    <comment s:ref="B150" rgbClr="5EC7F4"/>
    <comment s:ref="C153" rgbClr="B3C488"/>
    <comment s:ref="D153" rgbClr="B3C488"/>
    <comment s:ref="C157" rgbClr="06C6A8"/>
    <comment s:ref="D157" rgbClr="EFC348"/>
    <comment s:ref="C159" rgbClr="B6C950"/>
    <comment s:ref="D159" rgbClr="EFC348"/>
    <comment s:ref="C161" rgbClr="B6C950"/>
    <comment s:ref="D161" rgbClr="EFC348"/>
    <comment s:ref="C163" rgbClr="B6C950"/>
    <comment s:ref="D163" rgbClr="EFC348"/>
    <comment s:ref="D170" rgbClr="B6C950"/>
    <comment s:ref="C175" rgbClr="EFC348"/>
    <comment s:ref="D175" rgbClr="EFC348"/>
    <comment s:ref="C176" rgbClr="EFC348"/>
    <comment s:ref="D177" rgbClr="EFC348"/>
    <comment s:ref="C178" rgbClr="EFC348"/>
    <comment s:ref="C187" rgbClr="B6C950"/>
    <comment s:ref="D187" rgbClr="B6C950"/>
    <comment s:ref="C188" rgbClr="B6C9C0"/>
    <comment s:ref="D188" rgbClr="B6C9C0"/>
    <comment s:ref="C189" rgbClr="B6C9C0"/>
    <comment s:ref="D189" rgbClr="B6C9C0"/>
    <comment s:ref="C190" rgbClr="B6C9C0"/>
    <comment s:ref="D190" rgbClr="B6C9C0"/>
    <comment s:ref="C191" rgbClr="B6C9C0"/>
    <comment s:ref="D191" rgbClr="B6C9C0"/>
    <comment s:ref="A194" rgbClr="EFC348"/>
    <comment s:ref="D197" rgbClr="EFC348"/>
    <comment s:ref="D199" rgbClr="EFC348"/>
    <comment s:ref="C211" rgbClr="06C6A8"/>
  </commentList>
  <commentList sheetStid="12">
    <comment s:ref="A11" rgbClr="06C6B0"/>
    <comment s:ref="D21" rgbClr="06C6B0"/>
    <comment s:ref="C30" rgbClr="06C6A8"/>
  </commentList>
  <commentList sheetStid="5"/>
  <commentList sheetStid="4"/>
  <commentList sheetStid="9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dmlu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CUSTO TOTAL MENSAL</vt:lpstr>
      <vt:lpstr>1. Coleta Domiciliar</vt:lpstr>
      <vt:lpstr>2. Triagem, Transbordo</vt:lpstr>
      <vt:lpstr>3. Transporte</vt:lpstr>
      <vt:lpstr>4. Destinação final</vt:lpstr>
      <vt:lpstr>5.Encargos Sociais</vt:lpstr>
      <vt:lpstr>6.CAGED</vt:lpstr>
      <vt:lpstr>7.BDI</vt:lpstr>
      <vt:lpstr>8. Depreciação</vt:lpstr>
      <vt:lpstr>9.Remuneração de capital</vt:lpstr>
      <vt:lpstr>10. Dimensionamento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Licitações</cp:lastModifiedBy>
  <dcterms:created xsi:type="dcterms:W3CDTF">2000-12-13T10:02:00Z</dcterms:created>
  <cp:lastPrinted>2017-08-10T17:29:00Z</cp:lastPrinted>
  <dcterms:modified xsi:type="dcterms:W3CDTF">2023-03-16T14:06:28Z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30A5448BBED147DF9B19E39FFCA4D852</vt:lpwstr>
  </property>
  <property fmtid="{D5CDD505-2E9C-101B-9397-08002B2CF9AE}" pid="3" name="KSOProductBuildVer">
    <vt:lpwstr>1046-11.2.0.11486</vt:lpwstr>
  </property>
</Properties>
</file>