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 activeTab="1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B32" i="2"/>
  <c r="B31"/>
  <c r="B46"/>
  <c r="B24"/>
  <c r="B23"/>
  <c r="B19"/>
  <c r="B11"/>
  <c r="B10"/>
  <c r="B9"/>
  <c r="B20"/>
  <c r="B16"/>
  <c r="B5"/>
  <c r="B6" s="1"/>
  <c r="B21" s="1"/>
  <c r="B45"/>
  <c r="B42"/>
  <c r="B43"/>
  <c r="B44"/>
  <c r="B41"/>
  <c r="B13" i="1"/>
  <c r="B14"/>
  <c r="B3"/>
  <c r="B12"/>
  <c r="B11"/>
  <c r="B10"/>
  <c r="B9"/>
  <c r="B8"/>
  <c r="B2"/>
  <c r="B12" i="2" l="1"/>
  <c r="B22"/>
  <c r="B25" s="1"/>
  <c r="B27" s="1"/>
  <c r="B18" i="1"/>
  <c r="B28" i="2" l="1"/>
  <c r="B34" l="1"/>
  <c r="B48" s="1"/>
  <c r="B50" s="1"/>
  <c r="B51" l="1"/>
  <c r="B52" l="1"/>
  <c r="B53" s="1"/>
  <c r="B54" s="1"/>
</calcChain>
</file>

<file path=xl/sharedStrings.xml><?xml version="1.0" encoding="utf-8"?>
<sst xmlns="http://schemas.openxmlformats.org/spreadsheetml/2006/main" count="66" uniqueCount="66">
  <si>
    <t>Quantidade horas total anual</t>
  </si>
  <si>
    <t>Quantidade horas total mensal</t>
  </si>
  <si>
    <t>salário (220 horas/mês )</t>
  </si>
  <si>
    <t>13°</t>
  </si>
  <si>
    <t>férias</t>
  </si>
  <si>
    <t>INSS</t>
  </si>
  <si>
    <t>FGTS</t>
  </si>
  <si>
    <t>insalubridade (40%)</t>
  </si>
  <si>
    <t>Auxiliar de limpeza, conforme convenção coletiva de 2022</t>
  </si>
  <si>
    <t>40% (faixa mais elevada) sobre o salário mínimo nacional (40% de R$1212,00)</t>
  </si>
  <si>
    <t xml:space="preserve">1/12 do salário </t>
  </si>
  <si>
    <t>1/3 do salário / 12 meses</t>
  </si>
  <si>
    <t>Quantidade mensal de funcionários necessária</t>
  </si>
  <si>
    <t>Vale alimentação</t>
  </si>
  <si>
    <t>uniforme</t>
  </si>
  <si>
    <t>Vale transporte</t>
  </si>
  <si>
    <t>R$20,00 por dia e 21 dias úteis</t>
  </si>
  <si>
    <t>Total mensal por funcionário</t>
  </si>
  <si>
    <t>Total mensal para 31 funcionários</t>
  </si>
  <si>
    <t>Seguro acidente de trabalho SAT(RATXFAP)</t>
  </si>
  <si>
    <t>Valor</t>
  </si>
  <si>
    <t>Descrição</t>
  </si>
  <si>
    <t>Composição da Remuneração</t>
  </si>
  <si>
    <t>Benefícios mensais e diários</t>
  </si>
  <si>
    <t>Insumos</t>
  </si>
  <si>
    <t>Uniforme - 4 camisetas e 4 calças por ano a um custo de R$50,00/camiseta e R$80,00 por calça. Total de R$520,00/ano. R$43,33/mês</t>
  </si>
  <si>
    <t>Encargos Previdenciários</t>
  </si>
  <si>
    <t>Pagamentos realizados ao escritório de contabilidade mensalmente</t>
  </si>
  <si>
    <t>Despesas com escritório/administrativo</t>
  </si>
  <si>
    <t>Material de expediente</t>
  </si>
  <si>
    <t>FGTS - 8% sobre o salário</t>
  </si>
  <si>
    <t>Total antes dos impostos</t>
  </si>
  <si>
    <t>Alíquota simples nacional (Receita anual de R$ 720.000,01 a R$ 1.800.000,00 = 16%)</t>
  </si>
  <si>
    <t>Valor por hora</t>
  </si>
  <si>
    <t>Salário Recepcionista Atendente (CBO 422105)</t>
  </si>
  <si>
    <t xml:space="preserve">Férias da Recepcionista Atendente </t>
  </si>
  <si>
    <t>FGTS da Recepcionista Atendente  - 8% sobre o salário</t>
  </si>
  <si>
    <t>13° da Recepcionista Atendente</t>
  </si>
  <si>
    <t>Total mensal</t>
  </si>
  <si>
    <t>INSS da Recepcionista Atendente - 9% sobre o salário</t>
  </si>
  <si>
    <t>Auxilio alimentação - R$20,18,00/dia e 21 dias úteis/mês</t>
  </si>
  <si>
    <t>TOTAL DESPESAS POR MÊS</t>
  </si>
  <si>
    <t>Total encargos previdenciários por funcionário</t>
  </si>
  <si>
    <t>Total insumos por funcionário</t>
  </si>
  <si>
    <t>Total de benefícios por funcionário mensal</t>
  </si>
  <si>
    <t>Total de remuneração mensal por funcionário</t>
  </si>
  <si>
    <t>Total mensal despesas com escritório</t>
  </si>
  <si>
    <t>férias (1/3 do salário base / 12 meses)</t>
  </si>
  <si>
    <t>13° salário (1 salário base / 12 meses)</t>
  </si>
  <si>
    <t>Despesas estimadas com escritório/administrativo (luz, água, telefone, aluguel, manutenção, etc.)</t>
  </si>
  <si>
    <t>Salário normativo da categoria profissional 5141-10-garagista, 5141-20 - zelador, 5174-10 - porteiro, 5174-15 - porteiros de locais de diversão- conforme convenção  coletiva de 2022 (jornada de 44 horas semanais, 21 dias úteis/mês, 220horas/mês)</t>
  </si>
  <si>
    <t>INSS - 20% sobre o salário</t>
  </si>
  <si>
    <t>Adicional de trabalho noturno (20% sobre o valor da hora normal diurna)</t>
  </si>
  <si>
    <t>Seguro Acidente de Trabalho  - SAT + RAT - 4,8% da remuneração total</t>
  </si>
  <si>
    <t>Salário Educação</t>
  </si>
  <si>
    <t>vale alimentação (R$21,50 x 21 dias úteis)</t>
  </si>
  <si>
    <t>Vale transporte (6% do salário base mensal - cláusula 34° da convenção coletiva)</t>
  </si>
  <si>
    <r>
      <t>Ajuda de custo (</t>
    </r>
    <r>
      <rPr>
        <sz val="10"/>
        <color theme="1"/>
        <rFont val="Calibri"/>
        <family val="2"/>
        <scheme val="minor"/>
      </rPr>
      <t>CLÁUSULA 30° CONVENÇÃO COLETIVA</t>
    </r>
    <r>
      <rPr>
        <sz val="11"/>
        <color theme="1"/>
        <rFont val="Calibri"/>
        <family val="2"/>
        <scheme val="minor"/>
      </rPr>
      <t>) (15% sobre o salário-base)</t>
    </r>
  </si>
  <si>
    <t>PLANILHA DE CUSTOS - SEGURANÇA COM ATIVIDADES NOTURNAS (POR HORA)</t>
  </si>
  <si>
    <t>TOTAL DE FUNCIONÁRIOS COM E SEM ADICIONAL NOTURNO = 21 ( 55460 horas anuais previstas no edital / 12 meses, 4622 horas mensais / 220 horas mensais por funcionário)</t>
  </si>
  <si>
    <t>Total custos por funcionário com adicional noturno</t>
  </si>
  <si>
    <t>Total custos por funcionário com sem adicional noturno</t>
  </si>
  <si>
    <t>Estimativa de 7 funcionários em trabalho noturno integral</t>
  </si>
  <si>
    <t>TOTAL COM PESSOAL MENSAL</t>
  </si>
  <si>
    <t xml:space="preserve">LUCRO - 20% </t>
  </si>
  <si>
    <t>Estimativa de 14 funcionários em trabalho noturno integral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</si>
</sst>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10" fontId="0" fillId="0" borderId="0" xfId="0" applyNumberFormat="1"/>
    <xf numFmtId="9" fontId="0" fillId="0" borderId="0" xfId="0" applyNumberFormat="1" applyAlignment="1">
      <alignment horizontal="left"/>
    </xf>
    <xf numFmtId="44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44" fontId="0" fillId="0" borderId="1" xfId="1" applyFont="1" applyFill="1" applyBorder="1"/>
    <xf numFmtId="8" fontId="0" fillId="0" borderId="1" xfId="1" applyNumberFormat="1" applyFont="1" applyFill="1" applyBorder="1"/>
    <xf numFmtId="44" fontId="0" fillId="0" borderId="1" xfId="0" applyNumberFormat="1" applyFill="1" applyBorder="1"/>
    <xf numFmtId="0" fontId="0" fillId="0" borderId="0" xfId="0" applyFill="1"/>
    <xf numFmtId="0" fontId="0" fillId="2" borderId="1" xfId="0" applyFill="1" applyBorder="1"/>
    <xf numFmtId="44" fontId="0" fillId="2" borderId="1" xfId="1" applyFont="1" applyFill="1" applyBorder="1"/>
    <xf numFmtId="0" fontId="0" fillId="2" borderId="1" xfId="0" applyFill="1" applyBorder="1" applyAlignment="1">
      <alignment wrapText="1"/>
    </xf>
    <xf numFmtId="44" fontId="0" fillId="2" borderId="1" xfId="0" applyNumberFormat="1" applyFill="1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44" fontId="0" fillId="3" borderId="1" xfId="0" applyNumberFormat="1" applyFill="1" applyBorder="1"/>
    <xf numFmtId="0" fontId="0" fillId="0" borderId="1" xfId="0" applyFill="1" applyBorder="1" applyAlignment="1">
      <alignment horizontal="center" wrapText="1"/>
    </xf>
    <xf numFmtId="44" fontId="0" fillId="3" borderId="1" xfId="1" applyNumberFormat="1" applyFont="1" applyFill="1" applyBorder="1"/>
    <xf numFmtId="8" fontId="0" fillId="3" borderId="1" xfId="1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7" sqref="B7"/>
    </sheetView>
  </sheetViews>
  <sheetFormatPr defaultRowHeight="15"/>
  <cols>
    <col min="1" max="1" width="40" bestFit="1" customWidth="1"/>
    <col min="2" max="2" width="12.140625" bestFit="1" customWidth="1"/>
    <col min="3" max="3" width="37.140625" customWidth="1"/>
  </cols>
  <sheetData>
    <row r="1" spans="1:3">
      <c r="A1" t="s">
        <v>0</v>
      </c>
      <c r="B1">
        <v>80000</v>
      </c>
    </row>
    <row r="2" spans="1:3">
      <c r="A2" t="s">
        <v>1</v>
      </c>
      <c r="B2">
        <f>B1/12</f>
        <v>6666.666666666667</v>
      </c>
    </row>
    <row r="3" spans="1:3" ht="30">
      <c r="A3" s="1" t="s">
        <v>12</v>
      </c>
      <c r="B3">
        <f>B2/220</f>
        <v>30.303030303030305</v>
      </c>
    </row>
    <row r="4" spans="1:3">
      <c r="A4" s="1"/>
    </row>
    <row r="5" spans="1:3">
      <c r="A5" s="1"/>
    </row>
    <row r="6" spans="1:3">
      <c r="A6" s="1"/>
    </row>
    <row r="7" spans="1:3" ht="30">
      <c r="A7" t="s">
        <v>2</v>
      </c>
      <c r="C7" s="1" t="s">
        <v>8</v>
      </c>
    </row>
    <row r="8" spans="1:3" ht="30">
      <c r="A8" t="s">
        <v>7</v>
      </c>
      <c r="B8" s="2">
        <f>1212*40%</f>
        <v>484.8</v>
      </c>
      <c r="C8" s="1" t="s">
        <v>9</v>
      </c>
    </row>
    <row r="9" spans="1:3">
      <c r="A9" t="s">
        <v>3</v>
      </c>
      <c r="B9" s="2">
        <f>Plan2!B4/12</f>
        <v>104.5</v>
      </c>
      <c r="C9" s="3" t="s">
        <v>10</v>
      </c>
    </row>
    <row r="10" spans="1:3">
      <c r="A10" t="s">
        <v>4</v>
      </c>
      <c r="B10" s="2">
        <f>(Plan2!B4*33.3333333333333%)/12</f>
        <v>34.833333333333293</v>
      </c>
      <c r="C10" t="s">
        <v>11</v>
      </c>
    </row>
    <row r="11" spans="1:3">
      <c r="A11" t="s">
        <v>5</v>
      </c>
      <c r="B11" s="2">
        <f>Plan2!B4*20%</f>
        <v>250.8</v>
      </c>
      <c r="C11" s="4">
        <v>0.2</v>
      </c>
    </row>
    <row r="12" spans="1:3">
      <c r="A12" t="s">
        <v>6</v>
      </c>
      <c r="B12" s="2">
        <f>Plan2!B4*C12</f>
        <v>100.32000000000001</v>
      </c>
      <c r="C12" s="4">
        <v>0.08</v>
      </c>
    </row>
    <row r="13" spans="1:3">
      <c r="A13" t="s">
        <v>19</v>
      </c>
      <c r="B13" s="2">
        <f>Plan2!B4*C13</f>
        <v>37.619999999999997</v>
      </c>
      <c r="C13" s="4">
        <v>0.03</v>
      </c>
    </row>
    <row r="14" spans="1:3">
      <c r="A14" t="s">
        <v>13</v>
      </c>
      <c r="B14" s="2">
        <f>20*21</f>
        <v>420</v>
      </c>
      <c r="C14" s="4" t="s">
        <v>16</v>
      </c>
    </row>
    <row r="15" spans="1:3">
      <c r="A15" t="s">
        <v>14</v>
      </c>
      <c r="B15" s="2"/>
      <c r="C15" s="4"/>
    </row>
    <row r="16" spans="1:3">
      <c r="A16" t="s">
        <v>15</v>
      </c>
      <c r="B16" s="2"/>
      <c r="C16" s="4"/>
    </row>
    <row r="17" spans="1:3">
      <c r="A17" s="1"/>
      <c r="B17" s="5"/>
      <c r="C17" s="3"/>
    </row>
    <row r="18" spans="1:3">
      <c r="A18" t="s">
        <v>17</v>
      </c>
      <c r="B18" s="5">
        <f>SUM(B8:B12)</f>
        <v>975.25333333333322</v>
      </c>
    </row>
    <row r="19" spans="1:3">
      <c r="A19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4"/>
  <sheetViews>
    <sheetView tabSelected="1" workbookViewId="0">
      <selection activeCell="B25" sqref="B25"/>
    </sheetView>
  </sheetViews>
  <sheetFormatPr defaultRowHeight="15"/>
  <cols>
    <col min="1" max="1" width="74.7109375" style="11" bestFit="1" customWidth="1"/>
    <col min="2" max="2" width="14.28515625" style="11" bestFit="1" customWidth="1"/>
  </cols>
  <sheetData>
    <row r="1" spans="1:2">
      <c r="A1" s="17" t="s">
        <v>58</v>
      </c>
      <c r="B1" s="17"/>
    </row>
    <row r="2" spans="1:2">
      <c r="A2" s="12" t="s">
        <v>21</v>
      </c>
      <c r="B2" s="12" t="s">
        <v>20</v>
      </c>
    </row>
    <row r="3" spans="1:2">
      <c r="A3" s="12" t="s">
        <v>22</v>
      </c>
      <c r="B3" s="12"/>
    </row>
    <row r="4" spans="1:2" ht="60">
      <c r="A4" s="7" t="s">
        <v>50</v>
      </c>
      <c r="B4" s="8">
        <v>1254</v>
      </c>
    </row>
    <row r="5" spans="1:2">
      <c r="A5" s="7" t="s">
        <v>52</v>
      </c>
      <c r="B5" s="8">
        <f>B4*0.2</f>
        <v>250.8</v>
      </c>
    </row>
    <row r="6" spans="1:2">
      <c r="A6" s="12" t="s">
        <v>45</v>
      </c>
      <c r="B6" s="13">
        <f>B4+B5</f>
        <v>1504.8</v>
      </c>
    </row>
    <row r="7" spans="1:2">
      <c r="A7" s="6"/>
      <c r="B7" s="8"/>
    </row>
    <row r="8" spans="1:2">
      <c r="A8" s="12" t="s">
        <v>23</v>
      </c>
      <c r="B8" s="13"/>
    </row>
    <row r="9" spans="1:2">
      <c r="A9" s="6" t="s">
        <v>55</v>
      </c>
      <c r="B9" s="8">
        <f>21.5*21</f>
        <v>451.5</v>
      </c>
    </row>
    <row r="10" spans="1:2">
      <c r="A10" s="6" t="s">
        <v>56</v>
      </c>
      <c r="B10" s="8">
        <f>B4*0.06</f>
        <v>75.239999999999995</v>
      </c>
    </row>
    <row r="11" spans="1:2">
      <c r="A11" s="6" t="s">
        <v>57</v>
      </c>
      <c r="B11" s="8">
        <f>B4*0.15</f>
        <v>188.1</v>
      </c>
    </row>
    <row r="12" spans="1:2">
      <c r="A12" s="14" t="s">
        <v>44</v>
      </c>
      <c r="B12" s="20">
        <f>SUM(B9:B11)</f>
        <v>714.84</v>
      </c>
    </row>
    <row r="13" spans="1:2">
      <c r="A13" s="6"/>
      <c r="B13" s="8"/>
    </row>
    <row r="14" spans="1:2">
      <c r="A14" s="12" t="s">
        <v>24</v>
      </c>
      <c r="B14" s="13"/>
    </row>
    <row r="15" spans="1:2" ht="30">
      <c r="A15" s="7" t="s">
        <v>25</v>
      </c>
      <c r="B15" s="9">
        <v>43.33</v>
      </c>
    </row>
    <row r="16" spans="1:2">
      <c r="A16" s="14" t="s">
        <v>43</v>
      </c>
      <c r="B16" s="21">
        <f>B15</f>
        <v>43.33</v>
      </c>
    </row>
    <row r="17" spans="1:2">
      <c r="A17" s="6"/>
      <c r="B17" s="8"/>
    </row>
    <row r="18" spans="1:2">
      <c r="A18" s="12" t="s">
        <v>26</v>
      </c>
      <c r="B18" s="13"/>
    </row>
    <row r="19" spans="1:2">
      <c r="A19" s="6" t="s">
        <v>51</v>
      </c>
      <c r="B19" s="8">
        <f>B4*0.2</f>
        <v>250.8</v>
      </c>
    </row>
    <row r="20" spans="1:2">
      <c r="A20" s="6" t="s">
        <v>30</v>
      </c>
      <c r="B20" s="8">
        <f>B4*0.08</f>
        <v>100.32000000000001</v>
      </c>
    </row>
    <row r="21" spans="1:2">
      <c r="A21" s="6" t="s">
        <v>53</v>
      </c>
      <c r="B21" s="10">
        <f>B6*0.048</f>
        <v>72.230400000000003</v>
      </c>
    </row>
    <row r="22" spans="1:2">
      <c r="A22" s="6" t="s">
        <v>54</v>
      </c>
      <c r="B22" s="10">
        <f>B6*0.025</f>
        <v>37.619999999999997</v>
      </c>
    </row>
    <row r="23" spans="1:2">
      <c r="A23" s="6" t="s">
        <v>48</v>
      </c>
      <c r="B23" s="10">
        <f>B4/12</f>
        <v>104.5</v>
      </c>
    </row>
    <row r="24" spans="1:2">
      <c r="A24" s="6" t="s">
        <v>47</v>
      </c>
      <c r="B24" s="10">
        <f>(B4*0.33333)/12</f>
        <v>34.832985000000001</v>
      </c>
    </row>
    <row r="25" spans="1:2">
      <c r="A25" s="12" t="s">
        <v>42</v>
      </c>
      <c r="B25" s="18">
        <f>SUM(B19:B24)</f>
        <v>600.30338500000005</v>
      </c>
    </row>
    <row r="26" spans="1:2">
      <c r="A26" s="6"/>
      <c r="B26" s="6"/>
    </row>
    <row r="27" spans="1:2">
      <c r="A27" s="12" t="s">
        <v>60</v>
      </c>
      <c r="B27" s="15">
        <f>SUM(B6,B12,B16,B25)</f>
        <v>2863.273385</v>
      </c>
    </row>
    <row r="28" spans="1:2">
      <c r="A28" s="12" t="s">
        <v>61</v>
      </c>
      <c r="B28" s="18">
        <f>B4+B12+B16+B25</f>
        <v>2612.4733850000002</v>
      </c>
    </row>
    <row r="29" spans="1:2">
      <c r="A29" s="6"/>
      <c r="B29" s="10"/>
    </row>
    <row r="30" spans="1:2" ht="45" customHeight="1">
      <c r="A30" s="19" t="s">
        <v>59</v>
      </c>
      <c r="B30" s="19"/>
    </row>
    <row r="31" spans="1:2">
      <c r="A31" s="14" t="s">
        <v>62</v>
      </c>
      <c r="B31" s="15">
        <f>B27*7</f>
        <v>20042.913694999999</v>
      </c>
    </row>
    <row r="32" spans="1:2">
      <c r="A32" s="14" t="s">
        <v>65</v>
      </c>
      <c r="B32" s="18">
        <f>B28*14</f>
        <v>36574.627390000001</v>
      </c>
    </row>
    <row r="33" spans="1:2">
      <c r="A33" s="6"/>
      <c r="B33" s="10"/>
    </row>
    <row r="34" spans="1:2">
      <c r="A34" s="16" t="s">
        <v>63</v>
      </c>
      <c r="B34" s="18">
        <f>B31+B32</f>
        <v>56617.541085000004</v>
      </c>
    </row>
    <row r="35" spans="1:2">
      <c r="A35" s="6"/>
      <c r="B35" s="6"/>
    </row>
    <row r="36" spans="1:2">
      <c r="A36" s="16" t="s">
        <v>28</v>
      </c>
      <c r="B36" s="16"/>
    </row>
    <row r="37" spans="1:2">
      <c r="A37" s="6" t="s">
        <v>27</v>
      </c>
      <c r="B37" s="8">
        <v>1000</v>
      </c>
    </row>
    <row r="38" spans="1:2" ht="30">
      <c r="A38" s="7" t="s">
        <v>49</v>
      </c>
      <c r="B38" s="8">
        <v>2500</v>
      </c>
    </row>
    <row r="39" spans="1:2">
      <c r="A39" s="6" t="s">
        <v>29</v>
      </c>
      <c r="B39" s="8">
        <v>200</v>
      </c>
    </row>
    <row r="40" spans="1:2">
      <c r="A40" s="6" t="s">
        <v>34</v>
      </c>
      <c r="B40" s="8">
        <v>1382.58</v>
      </c>
    </row>
    <row r="41" spans="1:2">
      <c r="A41" s="6" t="s">
        <v>36</v>
      </c>
      <c r="B41" s="8">
        <f>B40*0.08</f>
        <v>110.60639999999999</v>
      </c>
    </row>
    <row r="42" spans="1:2">
      <c r="A42" s="6" t="s">
        <v>39</v>
      </c>
      <c r="B42" s="8">
        <f>B40*0.09</f>
        <v>124.43219999999999</v>
      </c>
    </row>
    <row r="43" spans="1:2">
      <c r="A43" s="6" t="s">
        <v>35</v>
      </c>
      <c r="B43" s="8">
        <f>(B40*0.33333)/12</f>
        <v>38.40461595</v>
      </c>
    </row>
    <row r="44" spans="1:2">
      <c r="A44" s="6" t="s">
        <v>37</v>
      </c>
      <c r="B44" s="8">
        <f>B40/12</f>
        <v>115.21499999999999</v>
      </c>
    </row>
    <row r="45" spans="1:2">
      <c r="A45" s="6" t="s">
        <v>40</v>
      </c>
      <c r="B45" s="8">
        <f>20.18*21</f>
        <v>423.78</v>
      </c>
    </row>
    <row r="46" spans="1:2">
      <c r="A46" s="12" t="s">
        <v>46</v>
      </c>
      <c r="B46" s="13">
        <f>SUM(B37:B45)</f>
        <v>5895.01821595</v>
      </c>
    </row>
    <row r="47" spans="1:2">
      <c r="A47" s="6"/>
      <c r="B47" s="8"/>
    </row>
    <row r="48" spans="1:2">
      <c r="A48" s="6" t="s">
        <v>41</v>
      </c>
      <c r="B48" s="8">
        <f>B46+B34</f>
        <v>62512.559300950001</v>
      </c>
    </row>
    <row r="49" spans="1:2">
      <c r="A49" s="6"/>
      <c r="B49" s="8"/>
    </row>
    <row r="50" spans="1:2">
      <c r="A50" s="6" t="s">
        <v>64</v>
      </c>
      <c r="B50" s="10">
        <f>(B48*0.2)</f>
        <v>12502.511860190001</v>
      </c>
    </row>
    <row r="51" spans="1:2">
      <c r="A51" s="6" t="s">
        <v>31</v>
      </c>
      <c r="B51" s="10">
        <f>B48+B50</f>
        <v>75015.071161140004</v>
      </c>
    </row>
    <row r="52" spans="1:2" ht="30">
      <c r="A52" s="7" t="s">
        <v>32</v>
      </c>
      <c r="B52" s="10">
        <f>B51*0.16</f>
        <v>12002.411385782401</v>
      </c>
    </row>
    <row r="53" spans="1:2">
      <c r="A53" s="12" t="s">
        <v>38</v>
      </c>
      <c r="B53" s="15">
        <f>B51+B52</f>
        <v>87017.482546922402</v>
      </c>
    </row>
    <row r="54" spans="1:2">
      <c r="A54" s="12" t="s">
        <v>33</v>
      </c>
      <c r="B54" s="15">
        <f>B53/3635</f>
        <v>23.938784744682916</v>
      </c>
    </row>
  </sheetData>
  <mergeCells count="2">
    <mergeCell ref="A1:B1"/>
    <mergeCell ref="A30:B30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2022-07-19T19:38:43Z</cp:lastPrinted>
  <dcterms:created xsi:type="dcterms:W3CDTF">2022-05-17T17:46:40Z</dcterms:created>
  <dcterms:modified xsi:type="dcterms:W3CDTF">2022-07-25T18:18:26Z</dcterms:modified>
</cp:coreProperties>
</file>