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6.xml" ContentType="application/vnd.openxmlformats-officedocument.spreadsheetml.externalLink+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120" windowWidth="28695" windowHeight="12525" activeTab="3"/>
  </bookViews>
  <sheets>
    <sheet name="CRONOGRAMA" sheetId="25" r:id="rId1"/>
    <sheet name="RESUMO SERVIÇOS" sheetId="26" r:id="rId2"/>
    <sheet name="ORÇAMENTO" sheetId="11" r:id="rId3"/>
    <sheet name="MEMÓRIA" sheetId="9" r:id="rId4"/>
    <sheet name="COMP.01" sheetId="63" r:id="rId5"/>
    <sheet name="COMP2" sheetId="62" r:id="rId6"/>
    <sheet name="COMP3" sheetId="61" r:id="rId7"/>
    <sheet name="BDI" sheetId="60" r:id="rId8"/>
    <sheet name="PREENCHER" sheetId="57" state="hidden" r:id="rId9"/>
    <sheet name="DECLARAÇÃO" sheetId="58" state="hidden" r:id="rId10"/>
  </sheets>
  <externalReferences>
    <externalReference r:id="rId11"/>
    <externalReference r:id="rId12"/>
    <externalReference r:id="rId13"/>
    <externalReference r:id="rId14"/>
    <externalReference r:id="rId15"/>
    <externalReference r:id="rId16"/>
  </externalReferences>
  <definedNames>
    <definedName name="_xlnm.Print_Area" localSheetId="7">BDI!$A$4:$E$34</definedName>
    <definedName name="_xlnm.Print_Area" localSheetId="4">COMP.01!$B$2:$H$34</definedName>
    <definedName name="_xlnm.Print_Area" localSheetId="5">COMP2!$B$2:$K$39</definedName>
    <definedName name="_xlnm.Print_Area" localSheetId="6">COMP3!$B$2:$K$18</definedName>
    <definedName name="_xlnm.Print_Area" localSheetId="0">CRONOGRAMA!$A$1:$K$24</definedName>
    <definedName name="_xlnm.Print_Area" localSheetId="9">DECLARAÇÃO!$A$1:$J$43</definedName>
    <definedName name="_xlnm.Print_Area" localSheetId="3">MEMÓRIA!$A$1:$J$256</definedName>
    <definedName name="_xlnm.Print_Area" localSheetId="2">ORÇAMENTO!$A$1:$O$91</definedName>
    <definedName name="_xlnm.Print_Area" localSheetId="1">'RESUMO SERVIÇOS'!$A$1:$I$18</definedName>
    <definedName name="BASEDECALCULO">PREENCHER!$L$22:$M$22</definedName>
    <definedName name="BCALC">#REF!</definedName>
    <definedName name="bdi" localSheetId="7">'[1]Comparativo Av. Cristóvão'!#REF!</definedName>
    <definedName name="bdi" localSheetId="4">'[2]Comparativo Av. Cristóvão'!#REF!</definedName>
    <definedName name="bdi" localSheetId="6">'[3]Comparativo Av. Cristóvão'!#REF!</definedName>
    <definedName name="bdi">'[2]Comparativo Av. Cristóvão'!#REF!</definedName>
    <definedName name="CREACAU">PREENCHER!$H$14:$I$14</definedName>
    <definedName name="dados_re" localSheetId="4">[4]RE!$B$13:$P$37</definedName>
    <definedName name="dados_re" localSheetId="5">[4]RE!$B$13:$P$37</definedName>
    <definedName name="dados_re" localSheetId="6">[4]RE!$B$13:$P$37</definedName>
    <definedName name="dados_re">[5]RE!$B$13:$P$37</definedName>
    <definedName name="ENC">#REF!</definedName>
    <definedName name="ENCARGOS">PREENCHER!$L$19:$M$19</definedName>
    <definedName name="ente">PREENCHER!$H$5:$I$5</definedName>
    <definedName name="Excel_BuiltIn_Print_Area_1_1" localSheetId="2">#REF!</definedName>
    <definedName name="Excel_BuiltIn_Print_Area_1_1_1" localSheetId="2">#REF!</definedName>
    <definedName name="Excel_BuiltIn_Print_Area_1_1_1_1" localSheetId="2">#REF!</definedName>
    <definedName name="Excel_BuiltIn_Print_Area_2" localSheetId="2">#REF!</definedName>
    <definedName name="Excel_BuiltIn_Print_Area_6_1" localSheetId="7">#REF!</definedName>
    <definedName name="Excel_BuiltIn_Print_Area_6_1" localSheetId="4">#REF!</definedName>
    <definedName name="Excel_BuiltIn_Print_Area_6_1" localSheetId="6">#REF!</definedName>
    <definedName name="Excel_BuiltIn_Print_Area_6_1">#REF!</definedName>
    <definedName name="Excel_BuiltIn_Print_Titles_1" localSheetId="2">(#REF!,#REF!)</definedName>
    <definedName name="Excel_BuiltIn_Print_Titles_1_1" localSheetId="7">#REF!</definedName>
    <definedName name="Excel_BuiltIn_Print_Titles_1_1" localSheetId="4">#REF!</definedName>
    <definedName name="Excel_BuiltIn_Print_Titles_1_1" localSheetId="6">#REF!</definedName>
    <definedName name="Excel_BuiltIn_Print_Titles_1_1" localSheetId="2">(#REF!,#REF!)</definedName>
    <definedName name="Excel_BuiltIn_Print_Titles_1_1">#REF!</definedName>
    <definedName name="iv" localSheetId="4">#REF!</definedName>
    <definedName name="iv" localSheetId="6">#REF!</definedName>
    <definedName name="iv">#REF!</definedName>
    <definedName name="k" localSheetId="7">#REF!</definedName>
    <definedName name="k" localSheetId="4">#REF!</definedName>
    <definedName name="k" localSheetId="6">#REF!</definedName>
    <definedName name="k">#REF!</definedName>
    <definedName name="M" localSheetId="7">#REF!</definedName>
    <definedName name="M" localSheetId="4">#REF!</definedName>
    <definedName name="M" localSheetId="6">#REF!</definedName>
    <definedName name="M">#REF!</definedName>
    <definedName name="MAPA" localSheetId="4">#REF!</definedName>
    <definedName name="MAPA" localSheetId="6">#REF!</definedName>
    <definedName name="MAPA">#REF!</definedName>
    <definedName name="MCIDADES" localSheetId="4">#REF!</definedName>
    <definedName name="MCIDADES" localSheetId="6">#REF!</definedName>
    <definedName name="MCIDADES">#REF!</definedName>
    <definedName name="MDA" localSheetId="4">#REF!</definedName>
    <definedName name="MDA" localSheetId="6">#REF!</definedName>
    <definedName name="MDA">#REF!</definedName>
    <definedName name="MDS" localSheetId="4">#REF!</definedName>
    <definedName name="MDS" localSheetId="6">#REF!</definedName>
    <definedName name="MDS">#REF!</definedName>
    <definedName name="ME" localSheetId="4">#REF!</definedName>
    <definedName name="ME" localSheetId="6">#REF!</definedName>
    <definedName name="ME">#REF!</definedName>
    <definedName name="MMA" localSheetId="4">#REF!</definedName>
    <definedName name="MMA" localSheetId="6">#REF!</definedName>
    <definedName name="MMA">#REF!</definedName>
    <definedName name="MS" localSheetId="4">#REF!</definedName>
    <definedName name="MS" localSheetId="6">#REF!</definedName>
    <definedName name="MS">#REF!</definedName>
    <definedName name="MTUR" localSheetId="4">#REF!</definedName>
    <definedName name="MTUR" localSheetId="6">#REF!</definedName>
    <definedName name="MTUR">#REF!</definedName>
    <definedName name="o" localSheetId="4">#REF!</definedName>
    <definedName name="o" localSheetId="6">#REF!</definedName>
    <definedName name="o">#REF!</definedName>
    <definedName name="regime">PREENCHER!$G$19:$H$19</definedName>
    <definedName name="_xlnm.Print_Titles" localSheetId="3">MEMÓRIA!$1:$4</definedName>
    <definedName name="_xlnm.Print_Titles" localSheetId="2">ORÇAMENTO!$1:$10</definedName>
    <definedName name="TOTAL" localSheetId="7">#REF!</definedName>
    <definedName name="TOTAL" localSheetId="4">#REF!</definedName>
    <definedName name="TOTAL" localSheetId="6">#REF!</definedName>
    <definedName name="TOTAL">#REF!</definedName>
  </definedNames>
  <calcPr calcId="124519"/>
</workbook>
</file>

<file path=xl/calcChain.xml><?xml version="1.0" encoding="utf-8"?>
<calcChain xmlns="http://schemas.openxmlformats.org/spreadsheetml/2006/main">
  <c r="H249" i="9"/>
  <c r="J12" i="61"/>
  <c r="H29" i="63"/>
  <c r="H31" s="1"/>
  <c r="H22"/>
  <c r="H24" s="1"/>
  <c r="H18"/>
  <c r="H17"/>
  <c r="H16"/>
  <c r="H15"/>
  <c r="H14"/>
  <c r="H13"/>
  <c r="H12"/>
  <c r="H11"/>
  <c r="H10"/>
  <c r="H19" l="1"/>
  <c r="H25" s="1"/>
  <c r="H26" s="1"/>
  <c r="H32" s="1"/>
  <c r="I45" i="11" s="1"/>
  <c r="J11" i="61" l="1"/>
  <c r="J76" i="11"/>
  <c r="K29"/>
  <c r="L29" s="1"/>
  <c r="J25"/>
  <c r="K25" s="1"/>
  <c r="L25" s="1"/>
  <c r="H236" i="9"/>
  <c r="H59"/>
  <c r="K18" i="25"/>
  <c r="K15"/>
  <c r="K12"/>
  <c r="K9"/>
  <c r="K6"/>
  <c r="D113" i="9"/>
  <c r="H113" s="1"/>
  <c r="H99"/>
  <c r="D99"/>
  <c r="E53" i="11"/>
  <c r="F128" i="9"/>
  <c r="F139"/>
  <c r="H133"/>
  <c r="H127"/>
  <c r="H93"/>
  <c r="T6"/>
  <c r="F134" s="1"/>
  <c r="H128"/>
  <c r="H129" s="1"/>
  <c r="H94"/>
  <c r="H95" s="1"/>
  <c r="N6" i="25"/>
  <c r="H74" i="11"/>
  <c r="Q4" i="9"/>
  <c r="Q5" s="1"/>
  <c r="H66" s="1"/>
  <c r="J75" i="11"/>
  <c r="E249" i="9"/>
  <c r="H75" i="11" s="1"/>
  <c r="H242" i="9"/>
  <c r="H71" i="11" s="1"/>
  <c r="E231" i="9"/>
  <c r="H231" s="1"/>
  <c r="E228"/>
  <c r="H228" s="1"/>
  <c r="E229"/>
  <c r="H229" s="1"/>
  <c r="E230"/>
  <c r="H230" s="1"/>
  <c r="E227"/>
  <c r="H227" s="1"/>
  <c r="E226"/>
  <c r="H226" s="1"/>
  <c r="E225"/>
  <c r="H225" s="1"/>
  <c r="F231"/>
  <c r="F225"/>
  <c r="F226"/>
  <c r="F227"/>
  <c r="F228"/>
  <c r="F229"/>
  <c r="F230"/>
  <c r="F224"/>
  <c r="C232"/>
  <c r="H215"/>
  <c r="H216"/>
  <c r="H217"/>
  <c r="H214"/>
  <c r="H65" i="11"/>
  <c r="H64"/>
  <c r="H63"/>
  <c r="H62"/>
  <c r="H61"/>
  <c r="H60"/>
  <c r="F185" i="9"/>
  <c r="E185"/>
  <c r="E184"/>
  <c r="D180"/>
  <c r="H180" s="1"/>
  <c r="H57" i="11" s="1"/>
  <c r="D179" i="9"/>
  <c r="H179" s="1"/>
  <c r="H55" i="11" s="1"/>
  <c r="D175" i="9"/>
  <c r="H175" s="1"/>
  <c r="H56" i="11" s="1"/>
  <c r="D174" i="9"/>
  <c r="H174" s="1"/>
  <c r="H54" i="11" s="1"/>
  <c r="J53"/>
  <c r="K76" l="1"/>
  <c r="F141" i="9"/>
  <c r="H139"/>
  <c r="H218"/>
  <c r="H68" i="11" s="1"/>
  <c r="H63" i="9"/>
  <c r="K75" i="11"/>
  <c r="M75" s="1"/>
  <c r="O75"/>
  <c r="F232" i="9"/>
  <c r="H70" i="11" s="1"/>
  <c r="K53"/>
  <c r="L53" s="1"/>
  <c r="L76" l="1"/>
  <c r="H70" i="9"/>
  <c r="N75" i="11"/>
  <c r="L75"/>
  <c r="G141" i="9" l="1"/>
  <c r="E141"/>
  <c r="E134"/>
  <c r="H134" s="1"/>
  <c r="H135" s="1"/>
  <c r="T5"/>
  <c r="F114" s="1"/>
  <c r="E114"/>
  <c r="T4"/>
  <c r="F100" s="1"/>
  <c r="E100"/>
  <c r="H36" i="11"/>
  <c r="H76" s="1"/>
  <c r="H35" i="9"/>
  <c r="H34"/>
  <c r="H87"/>
  <c r="H86"/>
  <c r="O76" i="11" l="1"/>
  <c r="M76"/>
  <c r="H100" i="9"/>
  <c r="H101" s="1"/>
  <c r="H37" i="11" s="1"/>
  <c r="H114" i="9"/>
  <c r="H115" s="1"/>
  <c r="H119" s="1"/>
  <c r="H41" i="11" s="1"/>
  <c r="H43"/>
  <c r="H141" i="9"/>
  <c r="H44" i="11"/>
  <c r="H88" i="9"/>
  <c r="H33" i="11" s="1"/>
  <c r="N76" l="1"/>
  <c r="H142" i="9"/>
  <c r="H105"/>
  <c r="H38" i="11" s="1"/>
  <c r="H45"/>
  <c r="H150" i="9" l="1"/>
  <c r="H146"/>
  <c r="H46" i="11" s="1"/>
  <c r="H13"/>
  <c r="H81" i="9"/>
  <c r="H27" i="11"/>
  <c r="H36" i="9"/>
  <c r="H51" s="1"/>
  <c r="E15"/>
  <c r="E14"/>
  <c r="H14" s="1"/>
  <c r="H78" l="1"/>
  <c r="H74"/>
  <c r="H30" i="11" s="1"/>
  <c r="H55" i="9"/>
  <c r="H24" i="11" s="1"/>
  <c r="H32"/>
  <c r="H28"/>
  <c r="H44" i="9"/>
  <c r="H21" i="11" s="1"/>
  <c r="H19"/>
  <c r="H23"/>
  <c r="H40" i="9"/>
  <c r="H20" i="11" s="1"/>
  <c r="H48" i="9"/>
  <c r="H22" i="11" s="1"/>
  <c r="H37" i="9"/>
  <c r="J63" i="11" l="1"/>
  <c r="K63" s="1"/>
  <c r="M63" s="1"/>
  <c r="J62"/>
  <c r="K62" s="1"/>
  <c r="J61"/>
  <c r="K61" s="1"/>
  <c r="J60"/>
  <c r="K60" s="1"/>
  <c r="J32"/>
  <c r="K32" l="1"/>
  <c r="O32"/>
  <c r="L63"/>
  <c r="O63"/>
  <c r="N63" s="1"/>
  <c r="M62"/>
  <c r="L62"/>
  <c r="O62"/>
  <c r="M61"/>
  <c r="L61"/>
  <c r="O61"/>
  <c r="M60"/>
  <c r="L60"/>
  <c r="O60"/>
  <c r="L32" l="1"/>
  <c r="M32"/>
  <c r="N32" s="1"/>
  <c r="N60"/>
  <c r="N62"/>
  <c r="N61"/>
  <c r="J47" l="1"/>
  <c r="K34" i="62"/>
  <c r="K33"/>
  <c r="K31"/>
  <c r="K30"/>
  <c r="K29"/>
  <c r="K26"/>
  <c r="K25"/>
  <c r="K24"/>
  <c r="K23"/>
  <c r="K22"/>
  <c r="K21"/>
  <c r="K20"/>
  <c r="K19"/>
  <c r="K18"/>
  <c r="K17"/>
  <c r="K13"/>
  <c r="K12"/>
  <c r="K11"/>
  <c r="K14"/>
  <c r="J70" i="11"/>
  <c r="K70" s="1"/>
  <c r="K27" i="62" l="1"/>
  <c r="K47" i="11"/>
  <c r="O70"/>
  <c r="K35" i="62"/>
  <c r="K15"/>
  <c r="L70" i="11"/>
  <c r="M70"/>
  <c r="L47" l="1"/>
  <c r="N70"/>
  <c r="K36" i="62"/>
  <c r="K37" s="1"/>
  <c r="I74" i="11" s="1"/>
  <c r="K12" i="61" l="1"/>
  <c r="K11"/>
  <c r="K15" l="1"/>
  <c r="K16" s="1"/>
  <c r="I84" i="11" s="1"/>
  <c r="J84" s="1"/>
  <c r="K84" s="1"/>
  <c r="M84" s="1"/>
  <c r="O84" l="1"/>
  <c r="L84"/>
  <c r="N84" l="1"/>
  <c r="C18" i="60"/>
  <c r="C32" s="1"/>
  <c r="D166" i="9" l="1"/>
  <c r="H166" s="1"/>
  <c r="H157"/>
  <c r="D185" s="1"/>
  <c r="E180"/>
  <c r="E175"/>
  <c r="E179"/>
  <c r="D165"/>
  <c r="H165" s="1"/>
  <c r="G185" l="1"/>
  <c r="H185" s="1"/>
  <c r="H167"/>
  <c r="H109"/>
  <c r="H170" l="1"/>
  <c r="H53" i="11" s="1"/>
  <c r="H52"/>
  <c r="H39"/>
  <c r="H40"/>
  <c r="H77" s="1"/>
  <c r="O53" l="1"/>
  <c r="M53"/>
  <c r="E59"/>
  <c r="E46"/>
  <c r="E41"/>
  <c r="E38"/>
  <c r="E24"/>
  <c r="E16"/>
  <c r="E30" s="1"/>
  <c r="C3" i="9"/>
  <c r="A3" i="25"/>
  <c r="A5" i="26"/>
  <c r="C4" i="9"/>
  <c r="N53" i="11" l="1"/>
  <c r="E21"/>
  <c r="B42" i="58"/>
  <c r="B41"/>
  <c r="B37"/>
  <c r="B36"/>
  <c r="E21"/>
  <c r="E20"/>
  <c r="E18"/>
  <c r="E17"/>
  <c r="E16"/>
  <c r="E15"/>
  <c r="E14"/>
  <c r="D11"/>
  <c r="B7"/>
  <c r="B6"/>
  <c r="B5"/>
  <c r="B4"/>
  <c r="J51" i="57"/>
  <c r="I51" s="1"/>
  <c r="G43"/>
  <c r="E23" i="58" s="1"/>
  <c r="G42" i="57"/>
  <c r="E22" i="58" s="1"/>
  <c r="G39" i="57"/>
  <c r="G51" s="1"/>
  <c r="J38"/>
  <c r="I38" s="1"/>
  <c r="G18" i="58" s="1"/>
  <c r="H38" i="57"/>
  <c r="F18" i="58" s="1"/>
  <c r="J37" i="57"/>
  <c r="I37" s="1"/>
  <c r="G17" i="58" s="1"/>
  <c r="J36" i="57"/>
  <c r="I36" s="1"/>
  <c r="G16" i="58" s="1"/>
  <c r="J35" i="57"/>
  <c r="I35" s="1"/>
  <c r="G15" i="58" s="1"/>
  <c r="J34" i="57"/>
  <c r="I34" s="1"/>
  <c r="G14" i="58" s="1"/>
  <c r="H34" i="57"/>
  <c r="F14" i="58" s="1"/>
  <c r="E11" i="57"/>
  <c r="E33" i="58" s="1"/>
  <c r="G6" i="57"/>
  <c r="F5"/>
  <c r="J42" i="11" l="1"/>
  <c r="K42" s="1"/>
  <c r="L42" s="1"/>
  <c r="J39"/>
  <c r="O39" s="1"/>
  <c r="J37"/>
  <c r="O37" s="1"/>
  <c r="J38"/>
  <c r="O38" s="1"/>
  <c r="J57"/>
  <c r="K57" s="1"/>
  <c r="M57" s="1"/>
  <c r="J56"/>
  <c r="J64"/>
  <c r="K64" s="1"/>
  <c r="M64" s="1"/>
  <c r="J65"/>
  <c r="H36" i="57"/>
  <c r="F16" i="58" s="1"/>
  <c r="H37" i="57"/>
  <c r="F17" i="58" s="1"/>
  <c r="H51" i="57"/>
  <c r="J52"/>
  <c r="F29" i="58"/>
  <c r="L40" i="57"/>
  <c r="L38"/>
  <c r="L37"/>
  <c r="L36"/>
  <c r="L35"/>
  <c r="L34"/>
  <c r="B51"/>
  <c r="L41"/>
  <c r="E19" i="58"/>
  <c r="E30" s="1"/>
  <c r="B3" s="1"/>
  <c r="H35" i="57"/>
  <c r="F15" i="58" s="1"/>
  <c r="G44" i="57"/>
  <c r="G52" s="1"/>
  <c r="O64" i="11" l="1"/>
  <c r="N64" s="1"/>
  <c r="K38"/>
  <c r="M38" s="1"/>
  <c r="K39"/>
  <c r="M39" s="1"/>
  <c r="K37"/>
  <c r="M37" s="1"/>
  <c r="O57"/>
  <c r="N57" s="1"/>
  <c r="L57"/>
  <c r="K56"/>
  <c r="O65"/>
  <c r="K65"/>
  <c r="M65" s="1"/>
  <c r="L64"/>
  <c r="N37" l="1"/>
  <c r="L37"/>
  <c r="N38"/>
  <c r="N39"/>
  <c r="L39"/>
  <c r="L38"/>
  <c r="L56"/>
  <c r="L65"/>
  <c r="N65"/>
  <c r="H123" i="9" l="1"/>
  <c r="H42" i="11" l="1"/>
  <c r="H47"/>
  <c r="O47" s="1"/>
  <c r="M42" l="1"/>
  <c r="O42"/>
  <c r="M47"/>
  <c r="N42" l="1"/>
  <c r="N47"/>
  <c r="J14"/>
  <c r="J16"/>
  <c r="J19"/>
  <c r="O19" s="1"/>
  <c r="J21"/>
  <c r="O21" s="1"/>
  <c r="J23"/>
  <c r="O23" s="1"/>
  <c r="J27"/>
  <c r="O27" s="1"/>
  <c r="J30"/>
  <c r="J33"/>
  <c r="J15"/>
  <c r="J17"/>
  <c r="J20"/>
  <c r="O20" s="1"/>
  <c r="J22"/>
  <c r="O22" s="1"/>
  <c r="J24"/>
  <c r="O24" s="1"/>
  <c r="J28"/>
  <c r="J31"/>
  <c r="J54"/>
  <c r="K54" s="1"/>
  <c r="J55"/>
  <c r="J59"/>
  <c r="J41"/>
  <c r="O41" s="1"/>
  <c r="J43"/>
  <c r="O43" s="1"/>
  <c r="J45"/>
  <c r="O45" s="1"/>
  <c r="J52"/>
  <c r="J58"/>
  <c r="J40"/>
  <c r="O40" s="1"/>
  <c r="J44"/>
  <c r="O44" s="1"/>
  <c r="J46"/>
  <c r="O46" s="1"/>
  <c r="J51"/>
  <c r="K51" s="1"/>
  <c r="K33" l="1"/>
  <c r="O33"/>
  <c r="K31"/>
  <c r="O30"/>
  <c r="K30"/>
  <c r="O28"/>
  <c r="K28"/>
  <c r="L54"/>
  <c r="L51"/>
  <c r="K24"/>
  <c r="L24" s="1"/>
  <c r="K20"/>
  <c r="K15"/>
  <c r="L15" s="1"/>
  <c r="K23"/>
  <c r="L23" s="1"/>
  <c r="K19"/>
  <c r="L19" s="1"/>
  <c r="K14"/>
  <c r="L14" s="1"/>
  <c r="O52"/>
  <c r="K52"/>
  <c r="K22"/>
  <c r="L22" s="1"/>
  <c r="K17"/>
  <c r="K27"/>
  <c r="M27" s="1"/>
  <c r="K21"/>
  <c r="L21" s="1"/>
  <c r="K16"/>
  <c r="L33" l="1"/>
  <c r="M33"/>
  <c r="N33" s="1"/>
  <c r="L31"/>
  <c r="L30"/>
  <c r="M30"/>
  <c r="N30" s="1"/>
  <c r="L28"/>
  <c r="M28"/>
  <c r="N28" s="1"/>
  <c r="M52"/>
  <c r="N52" s="1"/>
  <c r="L52"/>
  <c r="L27"/>
  <c r="N27"/>
  <c r="L17"/>
  <c r="L20"/>
  <c r="L16"/>
  <c r="J79" l="1"/>
  <c r="O79" s="1"/>
  <c r="J77"/>
  <c r="O77" s="1"/>
  <c r="J81"/>
  <c r="O81" s="1"/>
  <c r="J83"/>
  <c r="O83" s="1"/>
  <c r="J82"/>
  <c r="O82" s="1"/>
  <c r="K79" l="1"/>
  <c r="M79" s="1"/>
  <c r="N79" s="1"/>
  <c r="K77"/>
  <c r="M77" s="1"/>
  <c r="N77" s="1"/>
  <c r="K82"/>
  <c r="M82" s="1"/>
  <c r="N82" s="1"/>
  <c r="K81"/>
  <c r="M81" s="1"/>
  <c r="N81" s="1"/>
  <c r="K83"/>
  <c r="M83" s="1"/>
  <c r="N83" s="1"/>
  <c r="L79" l="1"/>
  <c r="L77"/>
  <c r="L82"/>
  <c r="L81"/>
  <c r="L83"/>
  <c r="O56" l="1"/>
  <c r="M56"/>
  <c r="N56" l="1"/>
  <c r="N18" i="25" l="1"/>
  <c r="N15"/>
  <c r="N12"/>
  <c r="N9"/>
  <c r="H156" i="9" l="1"/>
  <c r="D184" s="1"/>
  <c r="H31" i="11" l="1"/>
  <c r="H29"/>
  <c r="H75" i="9"/>
  <c r="H15"/>
  <c r="F184"/>
  <c r="O31" i="11" l="1"/>
  <c r="M31"/>
  <c r="M29"/>
  <c r="O29"/>
  <c r="H79" i="9"/>
  <c r="E174"/>
  <c r="H158"/>
  <c r="N29" i="11" l="1"/>
  <c r="N31"/>
  <c r="H160" i="9"/>
  <c r="H50" i="11" s="1"/>
  <c r="M21"/>
  <c r="M19"/>
  <c r="J69"/>
  <c r="K69" s="1"/>
  <c r="L69" s="1"/>
  <c r="J68"/>
  <c r="K68" s="1"/>
  <c r="L68" s="1"/>
  <c r="J50"/>
  <c r="J71"/>
  <c r="J36"/>
  <c r="O36" s="1"/>
  <c r="O55"/>
  <c r="J74"/>
  <c r="O74" s="1"/>
  <c r="O85" s="1"/>
  <c r="J13"/>
  <c r="O13" s="1"/>
  <c r="H17" i="26" l="1"/>
  <c r="M8" i="25" s="1"/>
  <c r="N19" i="11"/>
  <c r="N21"/>
  <c r="K71"/>
  <c r="O71"/>
  <c r="H161" i="9"/>
  <c r="H51" i="11" s="1"/>
  <c r="K46"/>
  <c r="L46" s="1"/>
  <c r="K13"/>
  <c r="XEM158" i="9"/>
  <c r="O50" i="11"/>
  <c r="L71" l="1"/>
  <c r="M71"/>
  <c r="N71" s="1"/>
  <c r="O51"/>
  <c r="M51"/>
  <c r="H224" i="9"/>
  <c r="H232" s="1"/>
  <c r="H69" i="11" s="1"/>
  <c r="M69" l="1"/>
  <c r="O69"/>
  <c r="N51"/>
  <c r="N69" l="1"/>
  <c r="O68"/>
  <c r="O72" s="1"/>
  <c r="H15" i="26" s="1"/>
  <c r="M20" i="25" s="1"/>
  <c r="M68" i="11"/>
  <c r="M54"/>
  <c r="O54"/>
  <c r="I20" i="25" l="1"/>
  <c r="N68" i="11"/>
  <c r="N54"/>
  <c r="G184" i="9"/>
  <c r="H184" s="1"/>
  <c r="H186" s="1"/>
  <c r="H190" l="1"/>
  <c r="H59" i="11" s="1"/>
  <c r="H58"/>
  <c r="O59" l="1"/>
  <c r="O58" l="1"/>
  <c r="O66" s="1"/>
  <c r="H13" i="26" s="1"/>
  <c r="M17" i="25" s="1"/>
  <c r="C21" i="11" l="1"/>
  <c r="C30" s="1"/>
  <c r="M20" l="1"/>
  <c r="H25" l="1"/>
  <c r="N20"/>
  <c r="M22"/>
  <c r="M25" l="1"/>
  <c r="O25"/>
  <c r="M24"/>
  <c r="M23"/>
  <c r="N22"/>
  <c r="K74"/>
  <c r="M74" s="1"/>
  <c r="N74" s="1"/>
  <c r="N25" l="1"/>
  <c r="N23"/>
  <c r="N24"/>
  <c r="K59"/>
  <c r="M59" s="1"/>
  <c r="N59" s="1"/>
  <c r="K58"/>
  <c r="M58" s="1"/>
  <c r="N58" s="1"/>
  <c r="K41"/>
  <c r="M41" s="1"/>
  <c r="N41" s="1"/>
  <c r="K36"/>
  <c r="M36" s="1"/>
  <c r="M13"/>
  <c r="K50"/>
  <c r="K44"/>
  <c r="M44" s="1"/>
  <c r="N44" s="1"/>
  <c r="K43"/>
  <c r="M43" s="1"/>
  <c r="N43" s="1"/>
  <c r="K40"/>
  <c r="M40" s="1"/>
  <c r="N40" s="1"/>
  <c r="K45"/>
  <c r="M45" s="1"/>
  <c r="N45" s="1"/>
  <c r="K55"/>
  <c r="M55" s="1"/>
  <c r="N55" s="1"/>
  <c r="N36" l="1"/>
  <c r="L50"/>
  <c r="M50"/>
  <c r="L59"/>
  <c r="L58"/>
  <c r="L41"/>
  <c r="L45"/>
  <c r="L36"/>
  <c r="L43"/>
  <c r="N13"/>
  <c r="L55"/>
  <c r="L40"/>
  <c r="L44"/>
  <c r="L13"/>
  <c r="N50" l="1"/>
  <c r="N66" s="1"/>
  <c r="M66"/>
  <c r="M72"/>
  <c r="N72"/>
  <c r="K20" i="25" l="1"/>
  <c r="C17" l="1"/>
  <c r="G17"/>
  <c r="I17"/>
  <c r="E17"/>
  <c r="M85" i="11"/>
  <c r="K17" i="25" l="1"/>
  <c r="N85" i="11"/>
  <c r="E8" i="25" l="1"/>
  <c r="C8"/>
  <c r="I8"/>
  <c r="G8"/>
  <c r="K8" l="1"/>
  <c r="M46" i="11"/>
  <c r="O48"/>
  <c r="H11" i="26" s="1"/>
  <c r="M14" i="25" s="1"/>
  <c r="M48" i="11" l="1"/>
  <c r="N46"/>
  <c r="N48" l="1"/>
  <c r="C14" i="25" l="1"/>
  <c r="E14"/>
  <c r="G14"/>
  <c r="I14"/>
  <c r="K14" l="1"/>
  <c r="H16" i="9" l="1"/>
  <c r="H28" l="1"/>
  <c r="H17" i="11" s="1"/>
  <c r="O17" s="1"/>
  <c r="H14"/>
  <c r="O14" s="1"/>
  <c r="H20" i="9"/>
  <c r="H24" s="1"/>
  <c r="M17" i="11" l="1"/>
  <c r="H16"/>
  <c r="O16" s="1"/>
  <c r="H15"/>
  <c r="O15" s="1"/>
  <c r="M14"/>
  <c r="M15" l="1"/>
  <c r="N17"/>
  <c r="N14"/>
  <c r="M16"/>
  <c r="O34" l="1"/>
  <c r="O87" s="1"/>
  <c r="M34"/>
  <c r="M87" s="1"/>
  <c r="N15"/>
  <c r="N16"/>
  <c r="H9" i="26" l="1"/>
  <c r="N34" i="11"/>
  <c r="N87" s="1"/>
  <c r="M11" i="25" l="1"/>
  <c r="H18" i="26"/>
  <c r="I9" s="1"/>
  <c r="R87" i="11"/>
  <c r="R85"/>
  <c r="I17" i="26" l="1"/>
  <c r="I15"/>
  <c r="I11"/>
  <c r="I13"/>
  <c r="M24" i="25"/>
  <c r="C11"/>
  <c r="C22" s="1"/>
  <c r="E11"/>
  <c r="E22" s="1"/>
  <c r="I11"/>
  <c r="I22" s="1"/>
  <c r="G11"/>
  <c r="G22" s="1"/>
  <c r="I18" i="26" l="1"/>
  <c r="C21" i="25"/>
  <c r="C23" s="1"/>
  <c r="I21"/>
  <c r="E21"/>
  <c r="G21"/>
  <c r="K11"/>
  <c r="C24"/>
  <c r="E24" s="1"/>
  <c r="G24" s="1"/>
  <c r="I24" s="1"/>
  <c r="E23" l="1"/>
  <c r="G23" s="1"/>
  <c r="I23" s="1"/>
</calcChain>
</file>

<file path=xl/sharedStrings.xml><?xml version="1.0" encoding="utf-8"?>
<sst xmlns="http://schemas.openxmlformats.org/spreadsheetml/2006/main" count="1305" uniqueCount="644">
  <si>
    <t xml:space="preserve">TOTAL  DO  ORÇAMENTO  </t>
  </si>
  <si>
    <t>km</t>
  </si>
  <si>
    <t>DMT=</t>
  </si>
  <si>
    <t>Transporte comercial em rodovia pavimentada - CBUQ</t>
  </si>
  <si>
    <t>Imprimação de base com CM-30</t>
  </si>
  <si>
    <t>Placa de obra em chapa de aço galvanizado</t>
  </si>
  <si>
    <t>Unid</t>
  </si>
  <si>
    <t>unid</t>
  </si>
  <si>
    <t xml:space="preserve"> </t>
  </si>
  <si>
    <t>5.3</t>
  </si>
  <si>
    <t>5.2</t>
  </si>
  <si>
    <t>5.1</t>
  </si>
  <si>
    <t>SINALIZAÇÃO</t>
  </si>
  <si>
    <t>4.4</t>
  </si>
  <si>
    <t>4.3</t>
  </si>
  <si>
    <t>4.2</t>
  </si>
  <si>
    <t>m</t>
  </si>
  <si>
    <t>4.1</t>
  </si>
  <si>
    <t>SUB-TOTAL (3) &gt;&gt;&gt;&gt;&gt;</t>
  </si>
  <si>
    <t>3.16</t>
  </si>
  <si>
    <t>3.15</t>
  </si>
  <si>
    <t>3.14</t>
  </si>
  <si>
    <t>3.13</t>
  </si>
  <si>
    <t>Reaterro e compactação de valas</t>
  </si>
  <si>
    <t>3.12</t>
  </si>
  <si>
    <t>3.11</t>
  </si>
  <si>
    <t>3.10</t>
  </si>
  <si>
    <t>Assentamento de tubos de concreto - D=0,60m</t>
  </si>
  <si>
    <t>3.9</t>
  </si>
  <si>
    <t>3.8</t>
  </si>
  <si>
    <t>3.7</t>
  </si>
  <si>
    <t>3.6</t>
  </si>
  <si>
    <t>3.5</t>
  </si>
  <si>
    <t>3.4</t>
  </si>
  <si>
    <t>3.3</t>
  </si>
  <si>
    <t>3.2</t>
  </si>
  <si>
    <t>Escavação mecânica de valas em 1a cat.</t>
  </si>
  <si>
    <t>3.1</t>
  </si>
  <si>
    <t>DRENAGEM</t>
  </si>
  <si>
    <t>SUB-TOTAL (2) &gt;&gt;&gt;&gt;&gt;</t>
  </si>
  <si>
    <t>2.8</t>
  </si>
  <si>
    <t>2.7</t>
  </si>
  <si>
    <t>2.6</t>
  </si>
  <si>
    <t>2.5</t>
  </si>
  <si>
    <t>2.4</t>
  </si>
  <si>
    <t>2.3</t>
  </si>
  <si>
    <t>2.2</t>
  </si>
  <si>
    <t>Regularização e compactação do sub-leito</t>
  </si>
  <si>
    <t>2.1</t>
  </si>
  <si>
    <t>PAVIMENTAÇÃO</t>
  </si>
  <si>
    <t>SUB-TOTAL (1)  &gt;&gt;&gt;&gt;&gt;</t>
  </si>
  <si>
    <t>Espalhamento de material - bota fora</t>
  </si>
  <si>
    <t>1.3</t>
  </si>
  <si>
    <t>1.2</t>
  </si>
  <si>
    <t>1.1</t>
  </si>
  <si>
    <t>TERRAPLENAGEM</t>
  </si>
  <si>
    <t>Total</t>
  </si>
  <si>
    <t>Valor Total                (R$)</t>
  </si>
  <si>
    <t>Valor Unitário (R$)</t>
  </si>
  <si>
    <t>Quantitativos</t>
  </si>
  <si>
    <t>Descrição</t>
  </si>
  <si>
    <t>Código SINAPI</t>
  </si>
  <si>
    <t>Ítem</t>
  </si>
  <si>
    <t>LARGURA PISTA (m)</t>
  </si>
  <si>
    <t>EXTENSÃO (m):</t>
  </si>
  <si>
    <t>TRECHO:</t>
  </si>
  <si>
    <t>LOGRADOURO:</t>
  </si>
  <si>
    <t>Limpeza de terreno - raspagem mecanizada de camada vegetal</t>
  </si>
  <si>
    <t>Escavação mecânica de valas (Solo com água), c/ profundidade até 1,50m</t>
  </si>
  <si>
    <t>t</t>
  </si>
  <si>
    <t>2.9</t>
  </si>
  <si>
    <t>CRONOGRAMA FÍSICO-FINANCEIRO</t>
  </si>
  <si>
    <t>ITEM</t>
  </si>
  <si>
    <t>SERVIÇOS</t>
  </si>
  <si>
    <t>TOTAL</t>
  </si>
  <si>
    <t>1.</t>
  </si>
  <si>
    <t>2.</t>
  </si>
  <si>
    <t>Terraplenagem</t>
  </si>
  <si>
    <t>3.</t>
  </si>
  <si>
    <t>Pavimentação</t>
  </si>
  <si>
    <t>4.</t>
  </si>
  <si>
    <t>5.</t>
  </si>
  <si>
    <t>RESUMO GERAL SERVIÇOS</t>
  </si>
  <si>
    <t>Serviço</t>
  </si>
  <si>
    <t xml:space="preserve">                                                                  SUB-TOTAL (3) &gt;&gt;&gt;&gt;&gt;</t>
  </si>
  <si>
    <t>Serviços Iniciais</t>
  </si>
  <si>
    <t>1.1.1</t>
  </si>
  <si>
    <t>1.1.2</t>
  </si>
  <si>
    <t>1.1.3</t>
  </si>
  <si>
    <t>Remoções Solos Inadequados</t>
  </si>
  <si>
    <t>m²</t>
  </si>
  <si>
    <t>m³</t>
  </si>
  <si>
    <t>Subtituição Solos Inadequados c/ pedra rachão, material, espalhamento e compactação</t>
  </si>
  <si>
    <t>Movimentação Terra - Greide</t>
  </si>
  <si>
    <t>1.2.1</t>
  </si>
  <si>
    <t>1.2.2</t>
  </si>
  <si>
    <t>1.2.3</t>
  </si>
  <si>
    <t>1.2.4</t>
  </si>
  <si>
    <t>1.2.5</t>
  </si>
  <si>
    <t>1.3.1</t>
  </si>
  <si>
    <t>Preço Unitário (R$)</t>
  </si>
  <si>
    <t>Preço Unitário c/ BDI (R$)</t>
  </si>
  <si>
    <t>Material</t>
  </si>
  <si>
    <t>Mão-de-Obra</t>
  </si>
  <si>
    <t>Valor Total (R$)</t>
  </si>
  <si>
    <t>Compactação de aterros - 100% PN</t>
  </si>
  <si>
    <t>1.3.2</t>
  </si>
  <si>
    <t>1.3.3</t>
  </si>
  <si>
    <t>1.3.4</t>
  </si>
  <si>
    <t>SUB-TOTAL (2)  &gt;&gt;&gt;&gt;&gt;</t>
  </si>
  <si>
    <t>Base de brita graduada, exclusive transporte</t>
  </si>
  <si>
    <t>73822/002</t>
  </si>
  <si>
    <t>SUB-TOTAL (5) &gt;&gt;&gt;&gt;&gt;</t>
  </si>
  <si>
    <t>Sinalização horizontal com tinta acrílica retrorefletiva</t>
  </si>
  <si>
    <t>Placa de sinalização semi-refletiva sem suporte</t>
  </si>
  <si>
    <t>Suporte de aço galvanizado D=2"</t>
  </si>
  <si>
    <t>5.4</t>
  </si>
  <si>
    <t>5.5</t>
  </si>
  <si>
    <t>BDI:</t>
  </si>
  <si>
    <t>Item</t>
  </si>
  <si>
    <t>ÁREA TOTAL =</t>
  </si>
  <si>
    <t>●</t>
  </si>
  <si>
    <t>1.1.4</t>
  </si>
  <si>
    <t>74209/001</t>
  </si>
  <si>
    <t>Placa de obra</t>
  </si>
  <si>
    <t>Espalhamento material bota-fora</t>
  </si>
  <si>
    <t>VOLUME TOTAL DE MATERIAL ESCAVADO</t>
  </si>
  <si>
    <t>item 1.1.2 x 0,20m</t>
  </si>
  <si>
    <t>Remoção de Solos Inadequados</t>
  </si>
  <si>
    <t>Movimentação Greide</t>
  </si>
  <si>
    <t>Compactação de aterros</t>
  </si>
  <si>
    <t>Regularização e compactação do subleito</t>
  </si>
  <si>
    <t>Imprimação de base de pavimentação com emulsão CM-30</t>
  </si>
  <si>
    <t>Capa asfáltica em CBUQ com CAP 50/70</t>
  </si>
  <si>
    <t>EXTENSÃO TUBO X LARGURA (DIÂMETRO TUBO + FOLGA) X ALTURA ESCAVAÇÃO</t>
  </si>
  <si>
    <t>Fornecimento de tubos (m)</t>
  </si>
  <si>
    <t>EXTENSÃO TUBOS</t>
  </si>
  <si>
    <t>Assentamento de tubos (m)</t>
  </si>
  <si>
    <t>und.</t>
  </si>
  <si>
    <t>PLACA RETANGULAR</t>
  </si>
  <si>
    <t>OBSERVAÇÕES GERAIS:</t>
  </si>
  <si>
    <t>Adotados os encargos sociais estebelecidos pelo SINAPI;</t>
  </si>
  <si>
    <t>Serviços topográficos para pavimentação</t>
  </si>
  <si>
    <t>m³xkm</t>
  </si>
  <si>
    <t>Carga e descarga de mecânizada de solo</t>
  </si>
  <si>
    <t>1.1.5</t>
  </si>
  <si>
    <t>1.2.6</t>
  </si>
  <si>
    <t>VOLUME TOTAL DE MATERIAL LIMPEZA</t>
  </si>
  <si>
    <t>VOLUME TOTAL DE MATERIAL REMOVIDO</t>
  </si>
  <si>
    <t>VEÍCULOS DE APOIO</t>
  </si>
  <si>
    <t>VEÍCULOS DE GRANDE PORTE</t>
  </si>
  <si>
    <t>Motoniveladora</t>
  </si>
  <si>
    <t>Retroescavadeira</t>
  </si>
  <si>
    <t>VEÍCULOS DE PRODUÇÃO</t>
  </si>
  <si>
    <t>CUSTO TOTAL POR VIAGEM</t>
  </si>
  <si>
    <t>m³ x km</t>
  </si>
  <si>
    <t>Transporte comercial - brita</t>
  </si>
  <si>
    <t>Transporte comercial - base</t>
  </si>
  <si>
    <t>Transporte comercial - rachão</t>
  </si>
  <si>
    <t>EST. FIM</t>
  </si>
  <si>
    <t>LADO</t>
  </si>
  <si>
    <t>EST. INÍCIO</t>
  </si>
  <si>
    <t>EXT. (m)</t>
  </si>
  <si>
    <t>TOTAL (m²)</t>
  </si>
  <si>
    <t>LE</t>
  </si>
  <si>
    <t>ESPESSURA (m)</t>
  </si>
  <si>
    <t>Base de brita graduada, inclus. compactação</t>
  </si>
  <si>
    <t>Ext. (m)</t>
  </si>
  <si>
    <t>Largura (m)</t>
  </si>
  <si>
    <t>total</t>
  </si>
  <si>
    <t>VOLUME TOTAL DE MATERIAL ESCAVADO X EMPOLAMENTO  x DMT</t>
  </si>
  <si>
    <t>Unid.</t>
  </si>
  <si>
    <t>área (m²)</t>
  </si>
  <si>
    <t>Diâmetro (m)</t>
  </si>
  <si>
    <t>Folga (m)</t>
  </si>
  <si>
    <t>Vol. Esc. (m³)</t>
  </si>
  <si>
    <t>Transporte comercial - bota-fora</t>
  </si>
  <si>
    <t>Código SICRO2</t>
  </si>
  <si>
    <t>Preço unit. ( R$x h)</t>
  </si>
  <si>
    <t>Preço Total</t>
  </si>
  <si>
    <t>Caminhão carroceria</t>
  </si>
  <si>
    <t>un.</t>
  </si>
  <si>
    <t>Caminhão comboio lubrificante</t>
  </si>
  <si>
    <t>Escavadeira hidráulica</t>
  </si>
  <si>
    <t>Rolo compactador - Pé de carneiro</t>
  </si>
  <si>
    <t>Rolo compactador de pneus</t>
  </si>
  <si>
    <t>Rolo compactador tanden vibratório (liso)</t>
  </si>
  <si>
    <t>Vibroacabadora de asfalto</t>
  </si>
  <si>
    <t>Caminhão tanque 6.000 l</t>
  </si>
  <si>
    <t>LD</t>
  </si>
  <si>
    <t>Área tubos (m²)</t>
  </si>
  <si>
    <t>Vol. tubos (m³)</t>
  </si>
  <si>
    <t>DIAS</t>
  </si>
  <si>
    <t xml:space="preserve">Drenagem </t>
  </si>
  <si>
    <t xml:space="preserve">Sinalização </t>
  </si>
  <si>
    <t>Mensal</t>
  </si>
  <si>
    <t>Acumulado</t>
  </si>
  <si>
    <t>Obra:</t>
  </si>
  <si>
    <t>Item 1.2.1</t>
  </si>
  <si>
    <t>Diâmetro 0,60m</t>
  </si>
  <si>
    <t>Altura média (m)</t>
  </si>
  <si>
    <t>NÚMERO DE PLACAS X ÁREA DE CADA PLACAS</t>
  </si>
  <si>
    <t>AC</t>
  </si>
  <si>
    <t>R</t>
  </si>
  <si>
    <t>DF</t>
  </si>
  <si>
    <t>L</t>
  </si>
  <si>
    <t>I</t>
  </si>
  <si>
    <t>Extensão (m)</t>
  </si>
  <si>
    <t xml:space="preserve">                                                                  SUB-TOTAL (2) &gt;&gt;&gt;&gt;&gt;</t>
  </si>
  <si>
    <t xml:space="preserve">                                                                 SUB-TOTAL (5) &gt;&gt;&gt;&gt;&gt;</t>
  </si>
  <si>
    <t>Manobras e descarga de CBUQ, descarga em vibro-acabadora</t>
  </si>
  <si>
    <t>2.10</t>
  </si>
  <si>
    <t>Tipo PA</t>
  </si>
  <si>
    <t>Suportes</t>
  </si>
  <si>
    <t>MOBILIZAÇÃO, SERVIÇOS TOPOGRÁFICOS E ENSAIOS</t>
  </si>
  <si>
    <t>Mobilização, Serviços Topográficos e Ensaios</t>
  </si>
  <si>
    <t>74022/052</t>
  </si>
  <si>
    <t>Mobilização de equipamentos</t>
  </si>
  <si>
    <t>Data Orçamento:</t>
  </si>
  <si>
    <t>Data Base Preço:</t>
  </si>
  <si>
    <t>VOLUME TOTAL DE MATERIAL EXCEDENTE  X EMPOLAMENTO  x DMT</t>
  </si>
  <si>
    <t>Reaterro e compactação de valas (Vol. Esc. - Vol. Tubos)</t>
  </si>
  <si>
    <t>Boca de bueiro D=0,60m</t>
  </si>
  <si>
    <t>Boca de bueiro simples D=0,60m</t>
  </si>
  <si>
    <t>73856/002</t>
  </si>
  <si>
    <t>Ensaios p/ Concreto Asfáltico (CBUQ)</t>
  </si>
  <si>
    <t>74022/040</t>
  </si>
  <si>
    <t>Total Geral</t>
  </si>
  <si>
    <t>DETALHAMENTO DO B.D.I.</t>
  </si>
  <si>
    <t>G + S</t>
  </si>
  <si>
    <t>Garantia + Seguro</t>
  </si>
  <si>
    <t>%</t>
  </si>
  <si>
    <t>Do custo direto da obra</t>
  </si>
  <si>
    <t>Risco</t>
  </si>
  <si>
    <t>Despesas financeiras</t>
  </si>
  <si>
    <t>Administração central</t>
  </si>
  <si>
    <t>Lucro</t>
  </si>
  <si>
    <t>Impostos (PIS, Cofins, ISS, CPRB)</t>
  </si>
  <si>
    <t>PIS</t>
  </si>
  <si>
    <t>Confins</t>
  </si>
  <si>
    <t>ISS</t>
  </si>
  <si>
    <t>Taxas diversas</t>
  </si>
  <si>
    <t>B.D.I.</t>
  </si>
  <si>
    <t>BDI CALCULADO DE ACORDO COM AS RECOMENDAÇÕES DO TRIBUNAL DE CONTAS DA UNIÃO
FONTE:
- Acórdão Nº 2622/2013-P.</t>
  </si>
  <si>
    <t>73817/002</t>
  </si>
  <si>
    <t xml:space="preserve">Carga, manobras e descarga de mistura betuminosa a quente </t>
  </si>
  <si>
    <t>Fornecimento de tubos de concreto simples - PA-2 - D=0,60m</t>
  </si>
  <si>
    <t>2.11</t>
  </si>
  <si>
    <t>1.3.5</t>
  </si>
  <si>
    <t>VOLUME MATERIAL BASE x DMT x EMPOLAMENTO</t>
  </si>
  <si>
    <t>Escavação mecânica de valas</t>
  </si>
  <si>
    <t>3.1 e 3.2</t>
  </si>
  <si>
    <t>Lastro de brita c/ preparo fundo valas (10cm)</t>
  </si>
  <si>
    <t>Lastro em brita graduada 10 cm</t>
  </si>
  <si>
    <t>Esp. (10 cm)</t>
  </si>
  <si>
    <t>Valores unitários sem desoneração da mão de obra;</t>
  </si>
  <si>
    <t>LASTRO</t>
  </si>
  <si>
    <t>Data:</t>
  </si>
  <si>
    <t>NÃO É NECESSÁRIO IMPRIMIR ESTA ABA</t>
  </si>
  <si>
    <t>PREENCHA OS CAMPOS EM AMARELO E IMPRIMA A ABA "DECLARAÇÃO"</t>
  </si>
  <si>
    <t>Prefeitura Municipal de</t>
  </si>
  <si>
    <t>Empresa</t>
  </si>
  <si>
    <t>Tomador/Empresa:</t>
  </si>
  <si>
    <t>Presidente Lucena</t>
  </si>
  <si>
    <t>Município:</t>
  </si>
  <si>
    <t>Nº contrato:</t>
  </si>
  <si>
    <t>XXX.XXX-XX/XXXX</t>
  </si>
  <si>
    <t>Objeto:</t>
  </si>
  <si>
    <t>Pavimentação Asfáltica de diversas vias</t>
  </si>
  <si>
    <t>Encargos :</t>
  </si>
  <si>
    <t>sem desoneração</t>
  </si>
  <si>
    <t>Nome orçamentista:</t>
  </si>
  <si>
    <t>Felipe Camargo</t>
  </si>
  <si>
    <t>CREA nº</t>
  </si>
  <si>
    <t xml:space="preserve">CREA nº </t>
  </si>
  <si>
    <t xml:space="preserve">CAU nº </t>
  </si>
  <si>
    <t>Nome do prefeito</t>
  </si>
  <si>
    <t>CPF do prefeito</t>
  </si>
  <si>
    <t>Regime de execução:</t>
  </si>
  <si>
    <t>empreitada por preço global</t>
  </si>
  <si>
    <t>empreitada por preço unitário</t>
  </si>
  <si>
    <t>desonerados</t>
  </si>
  <si>
    <t>Alíquota ISSQN:</t>
  </si>
  <si>
    <t>Base de cálculo ISSQN:</t>
  </si>
  <si>
    <t>valor da mão de obra</t>
  </si>
  <si>
    <t>valor total da obra</t>
  </si>
  <si>
    <t>% de Mão de Obra (em relação ao valor total da obra):</t>
  </si>
  <si>
    <t>Cálculo do BDI conforme Acórdão 2622/2013 TCU</t>
  </si>
  <si>
    <t>SELECIONE O
TIPO DE OBRA:</t>
  </si>
  <si>
    <t>2 - Construção de Rodovias e Ferrovias</t>
  </si>
  <si>
    <t>Itens</t>
  </si>
  <si>
    <t>Adotado</t>
  </si>
  <si>
    <t>MÍN</t>
  </si>
  <si>
    <t>MÁX</t>
  </si>
  <si>
    <t>1 - Construção de Edifícios</t>
  </si>
  <si>
    <t>MIN</t>
  </si>
  <si>
    <t>ADM CENTRAL</t>
  </si>
  <si>
    <t>1a</t>
  </si>
  <si>
    <t>S+G</t>
  </si>
  <si>
    <t>SEGURO E GARANTIA</t>
  </si>
  <si>
    <t>3 - Construção de Redes de Abastecimento de Água, Coleta de Esgoto e Construções Correlatas</t>
  </si>
  <si>
    <t>1b</t>
  </si>
  <si>
    <t>RISCO</t>
  </si>
  <si>
    <t>4 - Construção e Manutenção de Estações e Redes de Distribuição de Energia Elétrica</t>
  </si>
  <si>
    <t>1c</t>
  </si>
  <si>
    <t xml:space="preserve"> DESP. FINANCEIRAS</t>
  </si>
  <si>
    <t>5 - Obras Portuárias, Marítimas e Fluviais</t>
  </si>
  <si>
    <t>1d</t>
  </si>
  <si>
    <t>LUCRO</t>
  </si>
  <si>
    <t>6 - Fornecimento de Materiais e Equipamentos</t>
  </si>
  <si>
    <t>1e</t>
  </si>
  <si>
    <t>IMPOSTOS</t>
  </si>
  <si>
    <t>conf. Legislação</t>
  </si>
  <si>
    <t>2a</t>
  </si>
  <si>
    <t>COFINS</t>
  </si>
  <si>
    <t>ISSQN (Alíquota x %Base de cálculo)</t>
  </si>
  <si>
    <t>CPRB (p/ desonerado)</t>
  </si>
  <si>
    <t>IMPOSTOS (Desonerado)</t>
  </si>
  <si>
    <t>2b</t>
  </si>
  <si>
    <t>2c</t>
  </si>
  <si>
    <t>Fórmula do BDI</t>
  </si>
  <si>
    <t>2d</t>
  </si>
  <si>
    <t>BDI =</t>
  </si>
  <si>
    <t>(1 + AC + S + G + R) * (1 + DF) * (1 + L)</t>
  </si>
  <si>
    <t>2e</t>
  </si>
  <si>
    <t>(1 - I)</t>
  </si>
  <si>
    <t>3a</t>
  </si>
  <si>
    <t>3b</t>
  </si>
  <si>
    <t>BDI Resultante</t>
  </si>
  <si>
    <t>3c</t>
  </si>
  <si>
    <t>3d</t>
  </si>
  <si>
    <t>BDI Desonerado:</t>
  </si>
  <si>
    <t>3e</t>
  </si>
  <si>
    <t>IMPORTANTE: Se o percentual total do BDI exceder o máximo previsto pelo Acórdão 2622/20013, o detalhamento do BDI deve ser acompanhado de relatório técnico circunstanciado, justificando a adoção do percentual adotado para cada parcela do BDI, assinado pelo profissional responsável técnico do orçamento, usando como diretriz os percentuais máximos e mínimos previstos para cada item.</t>
  </si>
  <si>
    <t>* O BDI máximo pode ser ultrapassado nos casos em que a empresa vencedora da licitação se enquadre na desoneração (conforme Medida Provisória 601/2012). Neste caso, após definir o BDI "sem desoneração" respeitando os limites das tabelas acima, o cálculo do BDI "desonerado" é feito acrescentando 2% ao item "I - PIS, COFINS e ISSQN", sem alterar as demais parcelas da fórmula.</t>
  </si>
  <si>
    <t>4b</t>
  </si>
  <si>
    <t>* IMPORTANTE: Esta planilha foi desenvolvida para abranger às situações mais comuns. Poderá haver situações em que este modelo não se aplica. Não é obrigatório o uso desta planilha.</t>
  </si>
  <si>
    <t>4c</t>
  </si>
  <si>
    <t>4d</t>
  </si>
  <si>
    <t>4e</t>
  </si>
  <si>
    <t>5a</t>
  </si>
  <si>
    <t>5b</t>
  </si>
  <si>
    <t>5c</t>
  </si>
  <si>
    <t>5d</t>
  </si>
  <si>
    <t>5e</t>
  </si>
  <si>
    <t>6a</t>
  </si>
  <si>
    <t>6b</t>
  </si>
  <si>
    <t>6c</t>
  </si>
  <si>
    <t>6d</t>
  </si>
  <si>
    <t>6e</t>
  </si>
  <si>
    <t>1f</t>
  </si>
  <si>
    <t>2f</t>
  </si>
  <si>
    <t>3f</t>
  </si>
  <si>
    <t>4f</t>
  </si>
  <si>
    <t>5f</t>
  </si>
  <si>
    <t>6f</t>
  </si>
  <si>
    <t>Declaração</t>
  </si>
  <si>
    <t>Composição analítica do BDI (conforme Acórdão 2622/2013 TCU)</t>
  </si>
  <si>
    <t>TIPO DE OBRA:</t>
  </si>
  <si>
    <t>DESP. FINANCEIRAS</t>
  </si>
  <si>
    <t>ISSQN (Aliquota x %Base de cálculo)</t>
  </si>
  <si>
    <t>CPRB</t>
  </si>
  <si>
    <t>4a</t>
  </si>
  <si>
    <t>86.892-RS</t>
  </si>
  <si>
    <t>GILMAR FUHR</t>
  </si>
  <si>
    <t>968.607.900-91</t>
  </si>
  <si>
    <t>distâncias até;</t>
  </si>
  <si>
    <t>Caxias</t>
  </si>
  <si>
    <t>NH</t>
  </si>
  <si>
    <t>Porto Alegre</t>
  </si>
  <si>
    <t>Boca de bueiro simples D=0,80m</t>
  </si>
  <si>
    <t>Fornecimento de tubos de concreto simples - PA-2 - D=0,80m</t>
  </si>
  <si>
    <t>Assentamento de tubos de concreto - D=0,80m</t>
  </si>
  <si>
    <t>Carga, manobras e descarga de rachão</t>
  </si>
  <si>
    <t>1.2.7</t>
  </si>
  <si>
    <t>Escavação de mat. 1a cat.</t>
  </si>
  <si>
    <t>Sub-base de rachão, exclusive transporte</t>
  </si>
  <si>
    <t>Transporte comercial - sub-base</t>
  </si>
  <si>
    <t>Carga, manobras e descarga de base de brita graduada</t>
  </si>
  <si>
    <t>Pintura de ligação com RR-2C</t>
  </si>
  <si>
    <t>Capa asfáltica em CBUQ com CAP-50/70 (esp. 0,05m)</t>
  </si>
  <si>
    <t>2.12</t>
  </si>
  <si>
    <t>1.3.6</t>
  </si>
  <si>
    <t>SICRO 4805765</t>
  </si>
  <si>
    <t>Escavação de vala em mat. 3a cat.</t>
  </si>
  <si>
    <t>73856/003</t>
  </si>
  <si>
    <t>Placa de sinalização refletiva sem suporte</t>
  </si>
  <si>
    <t>DMTS</t>
  </si>
  <si>
    <t>BF</t>
  </si>
  <si>
    <t>PAV</t>
  </si>
  <si>
    <t>VOLUME MAT. x EMP. X DMT</t>
  </si>
  <si>
    <t>Carga, manaboras e descarga de rachão</t>
  </si>
  <si>
    <t>VOLUME TOTAL DE MATERIAL  x DENSIDADE</t>
  </si>
  <si>
    <t>Carga, manaboras e descarga escavações subleito</t>
  </si>
  <si>
    <t>item 1.3.1 + 1.3.2</t>
  </si>
  <si>
    <t>Pintura de ligação com emulsão RR-2C</t>
  </si>
  <si>
    <t>Sub-base de rachão, inclus. compactação</t>
  </si>
  <si>
    <t>item 2.2 x 1,7 t/m³</t>
  </si>
  <si>
    <t>Carga, manaboras e descarga de brita graduada</t>
  </si>
  <si>
    <t>item 2.5 x 1,5 t/m³</t>
  </si>
  <si>
    <t>Item 2.10 x 2,4</t>
  </si>
  <si>
    <t>Boca de bueiro D=0,80m</t>
  </si>
  <si>
    <t>Diâmetro 0,80m</t>
  </si>
  <si>
    <t>Município de Bom Princípio/RS</t>
  </si>
  <si>
    <t>PREFEITURA MUNICIPAL  DE BOM PRINCÍPIO/RS</t>
  </si>
  <si>
    <t>PREFEITURA MUNICIPAL DE BOM PRINCÍPIO/RS</t>
  </si>
  <si>
    <t>ADMINISTRAÇÃO LOCAL</t>
  </si>
  <si>
    <t>Valor unit. (h)</t>
  </si>
  <si>
    <t>Valor Total</t>
  </si>
  <si>
    <t>Pessoal</t>
  </si>
  <si>
    <t>Pessoal nível superior - engenheiro civil junior c/ encargos (*)</t>
  </si>
  <si>
    <t>mês</t>
  </si>
  <si>
    <t>CUSTO TOTAL  ADMINISTRAÇÃO LOCAL</t>
  </si>
  <si>
    <t>CUSTO % ADMINISTRAÇÃO LOCAL</t>
  </si>
  <si>
    <t>5.6</t>
  </si>
  <si>
    <t>Administração local</t>
  </si>
  <si>
    <t>5.5.1</t>
  </si>
  <si>
    <t>5.7</t>
  </si>
  <si>
    <t>Escavação em mat. 3a cat. com escavadeira e rompedor hidráulico</t>
  </si>
  <si>
    <t>MOVIMENTAÇÃO DE TERRAS (TERRAPLENAGEM)</t>
  </si>
  <si>
    <t>Suporte de aço galvanizado D=2" c/ instalação</t>
  </si>
  <si>
    <t>MOBILIZAÇÃO EQUIPAMENTOS</t>
  </si>
  <si>
    <t>Data Composição</t>
  </si>
  <si>
    <t>Data base:</t>
  </si>
  <si>
    <t>*</t>
  </si>
  <si>
    <t>Unidade:</t>
  </si>
  <si>
    <t>E9687</t>
  </si>
  <si>
    <t>Caminhão carroceria c/ munck</t>
  </si>
  <si>
    <t>E9508</t>
  </si>
  <si>
    <t>Veículo leve</t>
  </si>
  <si>
    <t>E9093</t>
  </si>
  <si>
    <t>1.4</t>
  </si>
  <si>
    <t>E9680</t>
  </si>
  <si>
    <t>Carregadeira de Pneus</t>
  </si>
  <si>
    <t>E9665</t>
  </si>
  <si>
    <t>E9667</t>
  </si>
  <si>
    <t>Trator Agrícola com grade</t>
  </si>
  <si>
    <t>Trator de Esteiras</t>
  </si>
  <si>
    <t>Caminhão basculante 6 m³</t>
  </si>
  <si>
    <t>E9506</t>
  </si>
  <si>
    <t xml:space="preserve">Caminhão basculante 14 m³ </t>
  </si>
  <si>
    <t>Distribuidor de agregados autopropelido</t>
  </si>
  <si>
    <t>E9514</t>
  </si>
  <si>
    <t>Caminhão caçamba</t>
  </si>
  <si>
    <t>E9520</t>
  </si>
  <si>
    <t>Caminhão Espargidor</t>
  </si>
  <si>
    <t>E9509</t>
  </si>
  <si>
    <t>E9605</t>
  </si>
  <si>
    <t xml:space="preserve">CUSTO TOTAL DE MOBILIZAÇÃO </t>
  </si>
  <si>
    <t>* Data Base (Referências de Custos Sem Desoneração):</t>
  </si>
  <si>
    <t>COMPOSIÇÃO 03</t>
  </si>
  <si>
    <r>
      <t xml:space="preserve">DISTÂNCIA MEDIANA ENTRE CENTROS URBANOS PARA FORNECIMENTO DE EQUIPAMENTOS </t>
    </r>
    <r>
      <rPr>
        <sz val="10"/>
        <rFont val="Arial"/>
        <family val="2"/>
      </rPr>
      <t>( Novo Hamburgo, Porto Alegre e Portão ): 55 Km</t>
    </r>
  </si>
  <si>
    <r>
      <t xml:space="preserve">TEMPO ( CONSIDERANDO VELOCIDADE MÉDIA = 50 Km/h ) = 1,10 </t>
    </r>
    <r>
      <rPr>
        <sz val="10"/>
        <rFont val="Arial"/>
        <family val="2"/>
      </rPr>
      <t>h</t>
    </r>
  </si>
  <si>
    <t xml:space="preserve"> PREFEITURA MUNICIPAL DE BOM PRINCÍPIO/RS</t>
  </si>
  <si>
    <t>COMPOSIÇÃO 02</t>
  </si>
  <si>
    <t>LOGRADOURO: MUNICÍPIO DE BOM PRINCÍPIO</t>
  </si>
  <si>
    <t>Composição 03</t>
  </si>
  <si>
    <t>Composição 02</t>
  </si>
  <si>
    <t>SICRO 5502967</t>
  </si>
  <si>
    <t>1.3.7</t>
  </si>
  <si>
    <t>Sarjeta Trapezoidal de Grama - SZG02</t>
  </si>
  <si>
    <t>SICRO 2003347</t>
  </si>
  <si>
    <t>Sarjeta Trapezoidal de Concreto - SZC02</t>
  </si>
  <si>
    <t>SICRO 2003345</t>
  </si>
  <si>
    <t>Transposição segmentos sarjetas - TSS02</t>
  </si>
  <si>
    <t>SICRO 2003359</t>
  </si>
  <si>
    <t>Caixa coletora de sarjeta CCS01 c/ grelha de concreto TCC01</t>
  </si>
  <si>
    <t>SICRO 2003477</t>
  </si>
  <si>
    <t>Est. 0+00 - Est. 45+00</t>
  </si>
  <si>
    <t>45+00</t>
  </si>
  <si>
    <t>LARG. MÉDIA (m)</t>
  </si>
  <si>
    <t>Transporte local bota-fora até  13,1 km</t>
  </si>
  <si>
    <t>Transporte comercial bota-fora até 13,1 km</t>
  </si>
  <si>
    <t>Transporte local bota-fora - 13,1 km</t>
  </si>
  <si>
    <t>(item 3.1+item 3.2-item 3.14) x 1,25 x 13,1 km</t>
  </si>
  <si>
    <t>ESP. (m)</t>
  </si>
  <si>
    <t>EXTENSÃO TRECHO REMOÇÃO X LARGURA X ESPESSURA</t>
  </si>
  <si>
    <t>Item 1.2.1 x 1,25 x 13,1 km</t>
  </si>
  <si>
    <t>Transporte comercial rachão - 46,6 km</t>
  </si>
  <si>
    <t>Transporte comercial brita - 46,6 km</t>
  </si>
  <si>
    <t>Item 1.2.1 x 1,15 x 46,6 km</t>
  </si>
  <si>
    <t>DMT</t>
  </si>
  <si>
    <t>PEDREIRA</t>
  </si>
  <si>
    <t>Escavação mat. 1a cat.</t>
  </si>
  <si>
    <t>Escavação mat. 3a cat.</t>
  </si>
  <si>
    <t>ESCAVAÇÃO</t>
  </si>
  <si>
    <t>CORTE</t>
  </si>
  <si>
    <t>ATERRO</t>
  </si>
  <si>
    <t>Escavação mecânica solos inservíveis profundidade até 1,50m</t>
  </si>
  <si>
    <t>Enleivamento de taludes</t>
  </si>
  <si>
    <t>ALT. MÉDIA (m)</t>
  </si>
  <si>
    <t>EXTENSÃO DO TRECHO x LARGURA PAVIMENTO</t>
  </si>
  <si>
    <t>EXTENSÃO (m)</t>
  </si>
  <si>
    <t>LARGURA (m)</t>
  </si>
  <si>
    <t>ESP.</t>
  </si>
  <si>
    <t>RACHÃO</t>
  </si>
  <si>
    <t>BASE</t>
  </si>
  <si>
    <t>CBUQ</t>
  </si>
  <si>
    <t>ESPESSURA (m0</t>
  </si>
  <si>
    <t>LARGURA M. CAM. (m)</t>
  </si>
  <si>
    <t>Transporte comercial rachão - 46,60 km</t>
  </si>
  <si>
    <t>VOLUME MATERIAL SUB-BASE x EMPOLAMENTO x DMT</t>
  </si>
  <si>
    <t>Item 2.2 x 1,15 x 46,60</t>
  </si>
  <si>
    <t>Item 2.2 x 1,46 x 46,60</t>
  </si>
  <si>
    <t>LARGURA CAM. (m)</t>
  </si>
  <si>
    <t>EXTENSÃO x LARGURA</t>
  </si>
  <si>
    <t>EXTENSÃO x LARGURA x ESPESSURA</t>
  </si>
  <si>
    <t>Transporte comercial CBUQ - 46,60 km</t>
  </si>
  <si>
    <t>Item 2.10 x 1,30 x 46,60</t>
  </si>
  <si>
    <t>VOLUME MATERIAL CBUQ  x EMPOLAMENTO x DMT</t>
  </si>
  <si>
    <t>Escavação mat 1a. (90% mat. Escavado)</t>
  </si>
  <si>
    <t>Escavação mat. 3a (10% mat. Escavado)</t>
  </si>
  <si>
    <t>VOLUME MATERIAL LASTRO x EMPOLAMENTO x DMT</t>
  </si>
  <si>
    <t>3.5 a 3.8</t>
  </si>
  <si>
    <t>Caixa coletora de sarjeta com grelha de concreto</t>
  </si>
  <si>
    <t>NÚMERO DE CAIXAS (MEDIDO EM PLANTA)</t>
  </si>
  <si>
    <t>Sarjeta Trapezoidal de Grama</t>
  </si>
  <si>
    <t>EXTENSÃO DE SARJETAS (MEDIDO EM PLANTA)</t>
  </si>
  <si>
    <t>Sarjeta Trapezoidal de Concreto</t>
  </si>
  <si>
    <t>Transposição de segmentos de sarjetas</t>
  </si>
  <si>
    <t>EXTENSÃO DE TRANSPOSIÇÕES (MEDIDO EM PLANTA)</t>
  </si>
  <si>
    <t>NÚMERO DE BOCAS (MEDIDO EM PLANTA)</t>
  </si>
  <si>
    <t>Pintura Contínua Amarela - Eixo</t>
  </si>
  <si>
    <t>Pintura Tracejada Amarela - Eixo</t>
  </si>
  <si>
    <t>Pintura Tracejada Branca - Bordo</t>
  </si>
  <si>
    <t>Pintura Contínua Branca - Bordo</t>
  </si>
  <si>
    <t>EXTENSÃO DE PINTURA X LARGURA DA LINHA</t>
  </si>
  <si>
    <t>PLACA OCTOGNAL (R-1)</t>
  </si>
  <si>
    <t>PLACA CIRCULAR (R-7)</t>
  </si>
  <si>
    <t>PLACA CIRCULAR (R-19)</t>
  </si>
  <si>
    <t>PLACA QUADRADA (A-2a)</t>
  </si>
  <si>
    <t>PLACA QUADRADA (A-2b)</t>
  </si>
  <si>
    <t>PLACA QUADRADA (A-7a)</t>
  </si>
  <si>
    <t>PLACA QUADRADA (A-7b)</t>
  </si>
  <si>
    <t>Dimensão</t>
  </si>
  <si>
    <t>L=0,25m</t>
  </si>
  <si>
    <t>Ø=0,50m</t>
  </si>
  <si>
    <t>L=0,50m</t>
  </si>
  <si>
    <t>2,00x0,50m</t>
  </si>
  <si>
    <t>Tacha refletiva bidirecional</t>
  </si>
  <si>
    <t>SICRO 5213360</t>
  </si>
  <si>
    <t>Tacha bidirecional refletiva</t>
  </si>
  <si>
    <t>NÚMERO DE TACHAS (EIXO E BORDOS) A CADA 8,00m</t>
  </si>
  <si>
    <t>Tachas bidirecionais amarela (eixo)</t>
  </si>
  <si>
    <t>Tachas bidirecionais branca (bordos)</t>
  </si>
  <si>
    <t>MOBILIZAÇÃO, SERVIÇOS TOPOGRÁFICOS E ADM LOCAL</t>
  </si>
  <si>
    <t>Ver composição 03</t>
  </si>
  <si>
    <t>-</t>
  </si>
  <si>
    <t>Ensaios Controle Tecnológico</t>
  </si>
  <si>
    <t>Um ensaio a cada 100m</t>
  </si>
  <si>
    <t>SUB-TOTAL (4) &gt;&gt;&gt;&gt;&gt;</t>
  </si>
  <si>
    <t>5.6.1</t>
  </si>
  <si>
    <t>5.6.2</t>
  </si>
  <si>
    <t>5.6.3</t>
  </si>
  <si>
    <t>5.3 a 5.6</t>
  </si>
  <si>
    <t>Ver composição 02</t>
  </si>
  <si>
    <t>(*) Considerado jornada de 2h diárias  / 3 dias por semana / 4 semanas no mês</t>
  </si>
  <si>
    <t>(**) Considerado jornada de 8 h semanais / 4 semanas no mês</t>
  </si>
  <si>
    <t>1cat</t>
  </si>
  <si>
    <t>3cat.</t>
  </si>
  <si>
    <t>VOLUME ESCAVAÇÃO SUBLEITO (Planilha movimentação de terras - considerado 95% mat. escavado)</t>
  </si>
  <si>
    <t>VOLUME ESCAVAÇÃO SUBLEITO (Planilha movimentação de terras - considerado 5% mat. escavado)</t>
  </si>
  <si>
    <t>MOVIMENTAÇÃO DE TERRAS</t>
  </si>
  <si>
    <t xml:space="preserve">                                                                 SUB-TOTAL (4) &gt;&gt;&gt;&gt;&gt;</t>
  </si>
  <si>
    <t>Pista</t>
  </si>
  <si>
    <t>Encaixes (medido planta)</t>
  </si>
  <si>
    <t>ÁREA (m²)</t>
  </si>
  <si>
    <t>PAVIMENTO PISTA</t>
  </si>
  <si>
    <t>ENCAIXE</t>
  </si>
  <si>
    <t>Memória de Cálculo</t>
  </si>
  <si>
    <t>Item 3.3 x 1,46 x 46,60</t>
  </si>
  <si>
    <t>Estrada Passo Salseiro</t>
  </si>
  <si>
    <t>Percentual               (%)</t>
  </si>
  <si>
    <t>1 un x (2,40m x 1,20m)</t>
  </si>
  <si>
    <t>QUANTIDADE DE PLACAS x ÁREA DA PLACA</t>
  </si>
  <si>
    <t>EXTENSÃO x LARGURA TERRENO VIRGEM</t>
  </si>
  <si>
    <t>item 1.1.3 x 1,25 x 13,1 km</t>
  </si>
  <si>
    <t>EXTENSÃO TRECHO REMOÇÃO x LARGURA x ESPESSURA</t>
  </si>
  <si>
    <t>VOLUME SUBSTITUIÇÃO X EMP x DMT</t>
  </si>
  <si>
    <t>VOL. ESCAVAÇÃO EXCEDENTE x EMP x DMT</t>
  </si>
  <si>
    <t>VOLUME TOTAL DE MATERIAL EXCEDENTE</t>
  </si>
  <si>
    <t>(Item 1.3.1x1,25+1.3.2x1,00) - (Item 1.3.6 ) x 13,1 km</t>
  </si>
  <si>
    <t>VOLUME TOTAL DE MATERIAL x DENSIDADE</t>
  </si>
  <si>
    <t>item 1.2.5 x 1,7 t/m³</t>
  </si>
  <si>
    <t>VOLUME TOTAL DE ATERRO  (Planilha movimentação de terras)</t>
  </si>
  <si>
    <t>Total de CBUQ (m³) / Densidade (t/m³)</t>
  </si>
  <si>
    <t>NÚMERO DE SUPORTE POR PLACAS x COMPRIMENTO</t>
  </si>
  <si>
    <t>Total de suportes item 4.2 x 3,00m</t>
  </si>
  <si>
    <t>MAR/2019</t>
  </si>
  <si>
    <t>FEV/2019</t>
  </si>
  <si>
    <t>- SICRO JUL/2018</t>
  </si>
  <si>
    <t>74021/003</t>
  </si>
  <si>
    <t>74021/006</t>
  </si>
  <si>
    <t>Ensaio de regularização do subleito</t>
  </si>
  <si>
    <t>74022/003</t>
  </si>
  <si>
    <t>Ensaio taxa de aplicação ligante betuminoso</t>
  </si>
  <si>
    <t>Ensaio de ponto de fulgor material betuminoso</t>
  </si>
  <si>
    <t>74022/025</t>
  </si>
  <si>
    <t>Ensaio de adesividade do ligante betuminoso</t>
  </si>
  <si>
    <t>Ensaio p/ Imprimação</t>
  </si>
  <si>
    <t>Ensaio da determinação da peneiração - emulsão asfáltica</t>
  </si>
  <si>
    <t>Tabela de preços SINAPI - FEV/2019 - SICRO:JUL/2018</t>
  </si>
  <si>
    <t>Equipamentos (A)</t>
  </si>
  <si>
    <t>Unidade</t>
  </si>
  <si>
    <t>Quant.</t>
  </si>
  <si>
    <t>Custo</t>
  </si>
  <si>
    <t>Discriminação</t>
  </si>
  <si>
    <t>Horário</t>
  </si>
  <si>
    <t>SINAPI 5835 - Vibroacabadora de asfalto sobre esteiras, largura de pav. 1,90 M a 5,30 M, Pot. 105 HP Cap. 450 T/H</t>
  </si>
  <si>
    <t>CHP</t>
  </si>
  <si>
    <t>SINAPI 5837 - Vibroacabadora de asfalto sobre esteiras, largura de pav. 1,90 M a 5,30 M, Pot. 105 HP Cap. 450 T/H</t>
  </si>
  <si>
    <t>CHI</t>
  </si>
  <si>
    <t>SINAPI 91386 - Caminhão basculante 10 m³, trucado cabine simples, peso bruto total 23.000 Kg</t>
  </si>
  <si>
    <t>SINAPI 95631 - Roli compact. Vibrat. tandem, aço liso, Pot. 125 HP, Peso s/C lastro 10,20/11,65 T, Larg. de trabalho 1,73 M</t>
  </si>
  <si>
    <t>SINAPI 95632 - Roli compact. Vibrat. tandem, aço liso, Pot. 125 HP, Peso s/C lastro 10,20/11,65 T, Larg. de trabalho 1,73 M</t>
  </si>
  <si>
    <t>SINAPI 96155 - Trator de pneus c/ potência de 85 CV, tração 4X4, c/ vassoura mecânica acoplada</t>
  </si>
  <si>
    <t>SINAPI 96157 - Trator de pneus c/ potência de 85 CV, tração 4X4, c/ vassoura mecânica acoplada</t>
  </si>
  <si>
    <t xml:space="preserve">SINAPI 96463 - Rolo compact. de pneu estático, pres. var., Pot. 110 HP, Peso s/c Lastro 10,08 / 27,0 T, Larg. de rolagem 2,30 m </t>
  </si>
  <si>
    <t xml:space="preserve">SINAPI 96464 - Rolo compact. de pneu estático, pres. var., Pot. 110 HP, Peso s/c Lastro 10,08 / 27,0 T, Larg. de rolagem 2,30 m </t>
  </si>
  <si>
    <t>Total (A)</t>
  </si>
  <si>
    <t>Mão-de-Obra (B)</t>
  </si>
  <si>
    <t>Salário</t>
  </si>
  <si>
    <t>Base</t>
  </si>
  <si>
    <t>SINAPI 88314 - Rasteleiro</t>
  </si>
  <si>
    <t>h</t>
  </si>
  <si>
    <t>Total (B)</t>
  </si>
  <si>
    <t>(C) Produção da Equipe 1 m³/H</t>
  </si>
  <si>
    <t>Custo horário Total (A+B)</t>
  </si>
  <si>
    <t>(D) Custo Unitário da Execução [(A)+(B)/(C)=</t>
  </si>
  <si>
    <t>Materiais (E)</t>
  </si>
  <si>
    <t>Consumo</t>
  </si>
  <si>
    <t>Unitário</t>
  </si>
  <si>
    <t>SINAPI 72962 - Usinagem CBUQ c/ CAP 50/70</t>
  </si>
  <si>
    <t>Total (E)</t>
  </si>
  <si>
    <t>CUSTO UNITÁRIO TOTAL (R$) (S/ BDI)</t>
  </si>
  <si>
    <t>COMPOSIÇÃO 01 - REF. SINAPI 95995</t>
  </si>
  <si>
    <t>Data Base:</t>
  </si>
  <si>
    <t>Serviço: Const. Pav. c/ Aplicação de CBUQ, Camada de Rolamento, c/ esp. 5,00 cm – Exclus. Transp.</t>
  </si>
  <si>
    <t>Composição 01</t>
  </si>
  <si>
    <t>Ensaios de base estabilizada granulometricamente</t>
  </si>
  <si>
    <t>Pessoal nível médio - encarregado geral  c/ encargos (**)</t>
  </si>
  <si>
    <t>Extensão trecho x largura pista + área encaixes</t>
  </si>
  <si>
    <t>Área Encaixes (m²)</t>
  </si>
  <si>
    <t>((Item 1.3.1x1,25+1.3.2x1,00) - (Item 1.3.6)</t>
  </si>
</sst>
</file>

<file path=xl/styles.xml><?xml version="1.0" encoding="utf-8"?>
<styleSheet xmlns="http://schemas.openxmlformats.org/spreadsheetml/2006/main">
  <numFmts count="18">
    <numFmt numFmtId="44" formatCode="_-&quot;R$&quot;\ * #,##0.00_-;\-&quot;R$&quot;\ * #,##0.00_-;_-&quot;R$&quot;\ * &quot;-&quot;??_-;_-@_-"/>
    <numFmt numFmtId="43" formatCode="_-* #,##0.00_-;\-* #,##0.00_-;_-* &quot;-&quot;??_-;_-@_-"/>
    <numFmt numFmtId="164" formatCode="_(* #,##0.00_);_(* \(#,##0.00\);_(* \-??_);_(@_)"/>
    <numFmt numFmtId="165" formatCode="_(&quot;R$&quot;* #,##0.00_);_(&quot;R$&quot;* \(#,##0.00\);_(&quot;R$&quot;* &quot;-&quot;??_);_(@_)"/>
    <numFmt numFmtId="166" formatCode="_(&quot;R$ &quot;* #,##0.00_);_(&quot;R$ &quot;* \(#,##0.00\);_(&quot;R$ &quot;* \-??_);_(@_)"/>
    <numFmt numFmtId="167" formatCode="_(* #,##0.00_);_(* \(#,##0.00\);_(* &quot;-&quot;??_);_(@_)"/>
    <numFmt numFmtId="168" formatCode="_([$€-2]* #,##0.00_);_([$€-2]* \(#,##0.00\);_([$€-2]* &quot;-&quot;??_)"/>
    <numFmt numFmtId="169" formatCode="##\&amp;&quot; =&quot;"/>
    <numFmt numFmtId="170" formatCode="\$#,##0\ ;\(\$#,##0\)"/>
    <numFmt numFmtId="171" formatCode="_(&quot;R$&quot;* #,##0.00_);_(&quot;R$&quot;* \(#,##0.00\);_(&quot;R$&quot;* \-??_);_(@_)"/>
    <numFmt numFmtId="172" formatCode="_(&quot;R$ &quot;* #,##0.00_);_(&quot;R$ &quot;* \(#,##0.00\);_(&quot;R$ &quot;* &quot;-&quot;??_);_(@_)"/>
    <numFmt numFmtId="173" formatCode="0.00\ &quot;km =&quot;"/>
    <numFmt numFmtId="174" formatCode="0.0000%"/>
    <numFmt numFmtId="175" formatCode="* #,##0.00\ ;* \(#,##0.00\);* \-#\ ;@\ "/>
    <numFmt numFmtId="176" formatCode="&quot;VERDADEIRO&quot;;&quot;VERDADEIRO&quot;;&quot;FALSO&quot;"/>
    <numFmt numFmtId="177" formatCode="0.0%"/>
    <numFmt numFmtId="178" formatCode="0.00\ &quot;%&quot;"/>
    <numFmt numFmtId="179" formatCode="0.0000"/>
  </numFmts>
  <fonts count="90">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b/>
      <sz val="10"/>
      <color indexed="8"/>
      <name val="Arial"/>
      <family val="2"/>
    </font>
    <font>
      <sz val="9"/>
      <name val="Arial"/>
      <family val="2"/>
    </font>
    <font>
      <sz val="10"/>
      <color indexed="10"/>
      <name val="Arial"/>
      <family val="2"/>
    </font>
    <font>
      <sz val="12"/>
      <name val="Arial"/>
      <family val="2"/>
    </font>
    <font>
      <b/>
      <sz val="16"/>
      <name val="Century Gothic"/>
      <family val="2"/>
    </font>
    <font>
      <sz val="10"/>
      <name val="Arial"/>
      <family val="2"/>
    </font>
    <font>
      <sz val="10"/>
      <color theme="1"/>
      <name val="Arial"/>
      <family val="2"/>
    </font>
    <font>
      <i/>
      <sz val="10"/>
      <name val="Arial"/>
      <family val="2"/>
    </font>
    <font>
      <sz val="1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0"/>
      <name val="Times New Roman"/>
      <family val="1"/>
    </font>
    <font>
      <sz val="10"/>
      <name val="Times New Roman"/>
      <family val="1"/>
    </font>
    <font>
      <b/>
      <sz val="11"/>
      <color indexed="63"/>
      <name val="Calibri"/>
      <family val="2"/>
    </font>
    <font>
      <sz val="11"/>
      <color indexed="10"/>
      <name val="Calibri"/>
      <family val="2"/>
    </font>
    <font>
      <i/>
      <sz val="11"/>
      <color indexed="23"/>
      <name val="Calibri"/>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b/>
      <sz val="11"/>
      <color indexed="8"/>
      <name val="Calibri"/>
      <family val="2"/>
    </font>
    <font>
      <b/>
      <sz val="12"/>
      <name val="Arial"/>
      <family val="2"/>
      <charset val="1"/>
    </font>
    <font>
      <b/>
      <sz val="12"/>
      <name val="Arial"/>
      <family val="2"/>
    </font>
    <font>
      <b/>
      <sz val="9"/>
      <name val="Arial"/>
      <family val="2"/>
    </font>
    <font>
      <b/>
      <sz val="11"/>
      <color theme="1"/>
      <name val="Arial"/>
      <family val="2"/>
    </font>
    <font>
      <b/>
      <sz val="10"/>
      <color theme="1"/>
      <name val="Arial"/>
      <family val="2"/>
    </font>
    <font>
      <b/>
      <sz val="9"/>
      <color theme="1"/>
      <name val="Arial"/>
      <family val="2"/>
    </font>
    <font>
      <i/>
      <sz val="9"/>
      <name val="Arial"/>
      <family val="2"/>
    </font>
    <font>
      <sz val="10"/>
      <name val="MS Sans Serif"/>
      <family val="2"/>
    </font>
    <font>
      <sz val="9"/>
      <color theme="1"/>
      <name val="Arial"/>
      <family val="2"/>
    </font>
    <font>
      <sz val="10"/>
      <color indexed="24"/>
      <name val="Arial"/>
      <family val="2"/>
    </font>
    <font>
      <b/>
      <sz val="18"/>
      <color indexed="24"/>
      <name val="Arial"/>
      <family val="2"/>
    </font>
    <font>
      <b/>
      <sz val="12"/>
      <color indexed="24"/>
      <name val="Arial"/>
      <family val="2"/>
    </font>
    <font>
      <u/>
      <sz val="10"/>
      <color indexed="12"/>
      <name val="Arial"/>
      <family val="2"/>
    </font>
    <font>
      <sz val="12"/>
      <name val="Times New Roman"/>
      <family val="1"/>
    </font>
    <font>
      <sz val="9"/>
      <color rgb="FFFF0000"/>
      <name val="Arial"/>
      <family val="2"/>
    </font>
    <font>
      <b/>
      <sz val="9"/>
      <color rgb="FFFF0000"/>
      <name val="Arial"/>
      <family val="2"/>
    </font>
    <font>
      <sz val="10"/>
      <color theme="0"/>
      <name val="Arial"/>
      <family val="2"/>
    </font>
    <font>
      <b/>
      <i/>
      <sz val="10"/>
      <name val="Arial"/>
      <family val="2"/>
    </font>
    <font>
      <sz val="10"/>
      <color theme="1"/>
      <name val="Calibri"/>
      <family val="2"/>
      <scheme val="minor"/>
    </font>
    <font>
      <sz val="9"/>
      <color theme="0"/>
      <name val="Arial"/>
      <family val="2"/>
    </font>
    <font>
      <sz val="10"/>
      <name val="Arial"/>
      <family val="2"/>
    </font>
    <font>
      <b/>
      <sz val="9"/>
      <color theme="0"/>
      <name val="Arial"/>
      <family val="2"/>
    </font>
    <font>
      <sz val="9"/>
      <color indexed="12"/>
      <name val="Tahoma"/>
      <family val="2"/>
    </font>
    <font>
      <sz val="16"/>
      <name val="Tahoma"/>
      <family val="2"/>
    </font>
    <font>
      <b/>
      <sz val="10"/>
      <name val="Tahoma"/>
      <family val="2"/>
    </font>
    <font>
      <b/>
      <sz val="11"/>
      <name val="Calibri"/>
      <family val="2"/>
      <scheme val="minor"/>
    </font>
    <font>
      <sz val="10"/>
      <color rgb="FFFF0000"/>
      <name val="Arial"/>
      <family val="2"/>
    </font>
    <font>
      <b/>
      <sz val="10"/>
      <color rgb="FFFF0000"/>
      <name val="Arial"/>
      <family val="2"/>
    </font>
    <font>
      <sz val="10"/>
      <color indexed="9"/>
      <name val="Arial"/>
      <family val="2"/>
    </font>
    <font>
      <b/>
      <sz val="12"/>
      <color indexed="9"/>
      <name val="Arial"/>
      <family val="2"/>
    </font>
    <font>
      <b/>
      <sz val="8"/>
      <name val="Arial"/>
      <family val="2"/>
    </font>
    <font>
      <b/>
      <sz val="10"/>
      <color indexed="9"/>
      <name val="Arial"/>
      <family val="2"/>
    </font>
    <font>
      <sz val="8"/>
      <name val="Arial"/>
      <family val="2"/>
    </font>
    <font>
      <sz val="9"/>
      <name val="Calibri"/>
      <family val="2"/>
    </font>
    <font>
      <b/>
      <sz val="14"/>
      <name val="Times New Roman"/>
      <family val="1"/>
    </font>
    <font>
      <sz val="11"/>
      <name val="Times New Roman"/>
      <family val="1"/>
    </font>
    <font>
      <b/>
      <sz val="12"/>
      <color indexed="9"/>
      <name val="Times New Roman"/>
      <family val="1"/>
    </font>
    <font>
      <b/>
      <sz val="8"/>
      <name val="Times New Roman"/>
      <family val="1"/>
    </font>
    <font>
      <b/>
      <sz val="10"/>
      <name val="Times New Roman"/>
      <family val="1"/>
    </font>
    <font>
      <b/>
      <sz val="10"/>
      <color indexed="9"/>
      <name val="Times New Roman"/>
      <family val="1"/>
    </font>
    <font>
      <sz val="8"/>
      <name val="Times New Roman"/>
      <family val="1"/>
    </font>
    <font>
      <sz val="10"/>
      <color indexed="8"/>
      <name val="Arial"/>
      <family val="2"/>
    </font>
    <font>
      <b/>
      <sz val="14"/>
      <name val="Arial"/>
      <family val="2"/>
    </font>
    <font>
      <b/>
      <sz val="16"/>
      <name val="Arial"/>
      <family val="2"/>
    </font>
    <font>
      <b/>
      <sz val="12"/>
      <name val="Century Gothic"/>
      <family val="2"/>
    </font>
    <font>
      <i/>
      <sz val="10"/>
      <color theme="0"/>
      <name val="Arial"/>
      <family val="2"/>
    </font>
    <font>
      <i/>
      <sz val="9"/>
      <color theme="0"/>
      <name val="Arial"/>
      <family val="2"/>
    </font>
    <font>
      <sz val="9"/>
      <color theme="5" tint="-0.249977111117893"/>
      <name val="Arial"/>
      <family val="2"/>
    </font>
    <font>
      <b/>
      <sz val="11"/>
      <name val="Arial"/>
      <family val="2"/>
    </font>
  </fonts>
  <fills count="40">
    <fill>
      <patternFill patternType="none"/>
    </fill>
    <fill>
      <patternFill patternType="gray125"/>
    </fill>
    <fill>
      <patternFill patternType="solid">
        <fgColor theme="2"/>
        <bgColor indexed="64"/>
      </patternFill>
    </fill>
    <fill>
      <patternFill patternType="solid">
        <fgColor theme="2"/>
        <bgColor indexed="26"/>
      </patternFill>
    </fill>
    <fill>
      <patternFill patternType="solid">
        <fgColor theme="0"/>
        <bgColor indexed="64"/>
      </patternFill>
    </fill>
    <fill>
      <patternFill patternType="solid">
        <fgColor theme="2"/>
        <bgColor indexed="31"/>
      </patternFill>
    </fill>
    <fill>
      <patternFill patternType="solid">
        <fgColor indexed="9"/>
        <bgColor indexed="64"/>
      </patternFill>
    </fill>
    <fill>
      <patternFill patternType="solid">
        <fgColor theme="2"/>
        <bgColor indexed="9"/>
      </patternFill>
    </fill>
    <fill>
      <patternFill patternType="solid">
        <fgColor indexed="22"/>
      </patternFill>
    </fill>
    <fill>
      <patternFill patternType="solid">
        <fgColor indexed="47"/>
      </patternFill>
    </fill>
    <fill>
      <patternFill patternType="solid">
        <fgColor indexed="26"/>
      </patternFill>
    </fill>
    <fill>
      <patternFill patternType="solid">
        <fgColor indexed="43"/>
      </patternFill>
    </fill>
    <fill>
      <patternFill patternType="solid">
        <fgColor indexed="29"/>
      </patternFill>
    </fill>
    <fill>
      <patternFill patternType="solid">
        <fgColor indexed="44"/>
      </patternFill>
    </fill>
    <fill>
      <patternFill patternType="solid">
        <fgColor indexed="49"/>
      </patternFill>
    </fill>
    <fill>
      <patternFill patternType="solid">
        <fgColor indexed="55"/>
      </patternFill>
    </fill>
    <fill>
      <patternFill patternType="solid">
        <fgColor indexed="42"/>
      </patternFill>
    </fill>
    <fill>
      <patternFill patternType="solid">
        <fgColor indexed="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theme="0" tint="-4.9989318521683403E-2"/>
        <bgColor indexed="64"/>
      </patternFill>
    </fill>
    <fill>
      <patternFill patternType="solid">
        <fgColor theme="0" tint="-4.9989318521683403E-2"/>
        <bgColor indexed="26"/>
      </patternFill>
    </fill>
    <fill>
      <patternFill patternType="solid">
        <fgColor theme="0" tint="-4.9989318521683403E-2"/>
        <bgColor indexed="9"/>
      </patternFill>
    </fill>
    <fill>
      <patternFill patternType="solid">
        <fgColor theme="0" tint="-4.9989318521683403E-2"/>
        <bgColor indexed="31"/>
      </patternFill>
    </fill>
    <fill>
      <patternFill patternType="solid">
        <fgColor theme="0"/>
        <bgColor indexed="31"/>
      </patternFill>
    </fill>
    <fill>
      <patternFill patternType="solid">
        <fgColor theme="2" tint="0.39997558519241921"/>
        <bgColor indexed="64"/>
      </patternFill>
    </fill>
    <fill>
      <patternFill patternType="solid">
        <fgColor indexed="43"/>
        <bgColor indexed="64"/>
      </patternFill>
    </fill>
    <fill>
      <patternFill patternType="solid">
        <fgColor indexed="55"/>
        <bgColor indexed="64"/>
      </patternFill>
    </fill>
    <fill>
      <patternFill patternType="solid">
        <fgColor indexed="23"/>
        <bgColor indexed="64"/>
      </patternFill>
    </fill>
    <fill>
      <patternFill patternType="solid">
        <fgColor theme="6" tint="0.79998168889431442"/>
        <bgColor theme="4" tint="0.79998168889431442"/>
      </patternFill>
    </fill>
    <fill>
      <patternFill patternType="solid">
        <fgColor theme="6" tint="0.79998168889431442"/>
        <bgColor indexed="64"/>
      </patternFill>
    </fill>
    <fill>
      <patternFill patternType="solid">
        <fgColor theme="6" tint="0.79998168889431442"/>
        <bgColor indexed="31"/>
      </patternFill>
    </fill>
    <fill>
      <patternFill patternType="solid">
        <fgColor theme="6" tint="0.79998168889431442"/>
        <bgColor indexed="26"/>
      </patternFill>
    </fill>
    <fill>
      <patternFill patternType="mediumGray">
        <fgColor theme="4" tint="0.79998168889431442"/>
        <bgColor theme="6" tint="0.79998168889431442"/>
      </patternFill>
    </fill>
    <fill>
      <patternFill patternType="solid">
        <fgColor theme="6" tint="0.79998168889431442"/>
        <bgColor indexed="34"/>
      </patternFill>
    </fill>
    <fill>
      <patternFill patternType="solid">
        <fgColor theme="6" tint="0.79998168889431442"/>
        <bgColor indexed="9"/>
      </patternFill>
    </fill>
    <fill>
      <patternFill patternType="solid">
        <fgColor theme="6" tint="-0.499984740745262"/>
        <bgColor indexed="64"/>
      </patternFill>
    </fill>
  </fills>
  <borders count="195">
    <border>
      <left/>
      <right/>
      <top/>
      <bottom/>
      <diagonal/>
    </border>
    <border>
      <left style="thin">
        <color indexed="8"/>
      </left>
      <right style="medium">
        <color indexed="64"/>
      </right>
      <top/>
      <bottom style="medium">
        <color indexed="64"/>
      </bottom>
      <diagonal/>
    </border>
    <border>
      <left/>
      <right style="medium">
        <color indexed="8"/>
      </right>
      <top style="thin">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8"/>
      </right>
      <top style="medium">
        <color indexed="64"/>
      </top>
      <bottom style="medium">
        <color indexed="8"/>
      </bottom>
      <diagonal/>
    </border>
    <border>
      <left/>
      <right/>
      <top style="medium">
        <color indexed="64"/>
      </top>
      <bottom style="medium">
        <color indexed="8"/>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medium">
        <color indexed="8"/>
      </bottom>
      <diagonal/>
    </border>
    <border>
      <left style="medium">
        <color indexed="64"/>
      </left>
      <right/>
      <top/>
      <bottom style="medium">
        <color indexed="8"/>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8"/>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8"/>
      </right>
      <top style="medium">
        <color indexed="8"/>
      </top>
      <bottom style="medium">
        <color indexed="64"/>
      </bottom>
      <diagonal/>
    </border>
    <border>
      <left/>
      <right/>
      <top style="medium">
        <color indexed="8"/>
      </top>
      <bottom style="medium">
        <color indexed="64"/>
      </bottom>
      <diagonal/>
    </border>
    <border>
      <left style="medium">
        <color indexed="64"/>
      </left>
      <right/>
      <top style="medium">
        <color indexed="8"/>
      </top>
      <bottom style="medium">
        <color indexed="64"/>
      </bottom>
      <diagonal/>
    </border>
    <border>
      <left style="medium">
        <color indexed="8"/>
      </left>
      <right style="medium">
        <color indexed="8"/>
      </right>
      <top/>
      <bottom/>
      <diagonal/>
    </border>
    <border>
      <left/>
      <right style="medium">
        <color indexed="8"/>
      </right>
      <top/>
      <bottom/>
      <diagonal/>
    </border>
    <border>
      <left style="medium">
        <color indexed="8"/>
      </left>
      <right/>
      <top/>
      <bottom/>
      <diagonal/>
    </border>
    <border>
      <left style="medium">
        <color indexed="64"/>
      </left>
      <right/>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8"/>
      </right>
      <top/>
      <bottom style="medium">
        <color indexed="64"/>
      </bottom>
      <diagonal/>
    </border>
    <border>
      <left style="medium">
        <color indexed="8"/>
      </left>
      <right/>
      <top style="medium">
        <color indexed="8"/>
      </top>
      <bottom style="medium">
        <color indexed="64"/>
      </bottom>
      <diagonal/>
    </border>
    <border>
      <left style="medium">
        <color indexed="64"/>
      </left>
      <right style="medium">
        <color indexed="64"/>
      </right>
      <top style="medium">
        <color indexed="64"/>
      </top>
      <bottom style="medium">
        <color indexed="8"/>
      </bottom>
      <diagonal/>
    </border>
    <border>
      <left/>
      <right style="medium">
        <color indexed="64"/>
      </right>
      <top/>
      <bottom/>
      <diagonal/>
    </border>
    <border>
      <left style="medium">
        <color indexed="64"/>
      </left>
      <right/>
      <top/>
      <bottom/>
      <diagonal/>
    </border>
    <border>
      <left style="medium">
        <color indexed="8"/>
      </left>
      <right style="medium">
        <color indexed="8"/>
      </right>
      <top/>
      <bottom style="medium">
        <color indexed="8"/>
      </bottom>
      <diagonal/>
    </border>
    <border>
      <left style="medium">
        <color indexed="8"/>
      </left>
      <right style="medium">
        <color indexed="8"/>
      </right>
      <top style="hair">
        <color indexed="64"/>
      </top>
      <bottom style="hair">
        <color indexed="64"/>
      </bottom>
      <diagonal/>
    </border>
    <border>
      <left/>
      <right style="medium">
        <color indexed="8"/>
      </right>
      <top style="medium">
        <color indexed="64"/>
      </top>
      <bottom/>
      <diagonal/>
    </border>
    <border>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8"/>
      </left>
      <right style="medium">
        <color indexed="64"/>
      </right>
      <top style="medium">
        <color indexed="8"/>
      </top>
      <bottom/>
      <diagonal/>
    </border>
    <border>
      <left style="thin">
        <color indexed="8"/>
      </left>
      <right style="medium">
        <color indexed="64"/>
      </right>
      <top style="medium">
        <color indexed="8"/>
      </top>
      <bottom style="medium">
        <color indexed="64"/>
      </bottom>
      <diagonal/>
    </border>
    <border>
      <left style="medium">
        <color indexed="64"/>
      </left>
      <right style="medium">
        <color indexed="8"/>
      </right>
      <top/>
      <bottom/>
      <diagonal/>
    </border>
    <border>
      <left style="medium">
        <color indexed="64"/>
      </left>
      <right style="medium">
        <color indexed="64"/>
      </right>
      <top style="hair">
        <color indexed="64"/>
      </top>
      <bottom/>
      <diagonal/>
    </border>
    <border>
      <left style="medium">
        <color indexed="8"/>
      </left>
      <right/>
      <top style="medium">
        <color indexed="64"/>
      </top>
      <bottom style="medium">
        <color indexed="8"/>
      </bottom>
      <diagonal/>
    </border>
    <border>
      <left style="medium">
        <color indexed="64"/>
      </left>
      <right style="medium">
        <color indexed="64"/>
      </right>
      <top style="medium">
        <color indexed="8"/>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thick">
        <color indexed="55"/>
      </bottom>
      <diagonal/>
    </border>
    <border>
      <left/>
      <right/>
      <top/>
      <bottom style="medium">
        <color indexed="49"/>
      </bottom>
      <diagonal/>
    </border>
    <border>
      <left/>
      <right/>
      <top style="thin">
        <color indexed="49"/>
      </top>
      <bottom style="double">
        <color indexed="49"/>
      </bottom>
      <diagonal/>
    </border>
    <border>
      <left style="medium">
        <color indexed="64"/>
      </left>
      <right style="medium">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medium">
        <color indexed="64"/>
      </bottom>
      <diagonal/>
    </border>
    <border>
      <left style="thin">
        <color indexed="8"/>
      </left>
      <right/>
      <top style="hair">
        <color indexed="64"/>
      </top>
      <bottom/>
      <diagonal/>
    </border>
    <border>
      <left/>
      <right/>
      <top style="hair">
        <color indexed="64"/>
      </top>
      <bottom/>
      <diagonal/>
    </border>
    <border>
      <left/>
      <right/>
      <top style="thin">
        <color indexed="8"/>
      </top>
      <bottom/>
      <diagonal/>
    </border>
    <border>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right style="medium">
        <color indexed="8"/>
      </right>
      <top style="thin">
        <color indexed="8"/>
      </top>
      <bottom/>
      <diagonal/>
    </border>
    <border>
      <left style="medium">
        <color indexed="8"/>
      </left>
      <right style="medium">
        <color indexed="8"/>
      </right>
      <top style="thin">
        <color indexed="8"/>
      </top>
      <bottom/>
      <diagonal/>
    </border>
    <border>
      <left style="medium">
        <color indexed="8"/>
      </left>
      <right style="medium">
        <color indexed="8"/>
      </right>
      <top style="thin">
        <color indexed="8"/>
      </top>
      <bottom style="thin">
        <color indexed="8"/>
      </bottom>
      <diagonal/>
    </border>
    <border>
      <left style="medium">
        <color indexed="8"/>
      </left>
      <right/>
      <top style="thin">
        <color indexed="8"/>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right/>
      <top style="thin">
        <color indexed="8"/>
      </top>
      <bottom style="medium">
        <color indexed="8"/>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8"/>
      </right>
      <top style="hair">
        <color indexed="64"/>
      </top>
      <bottom style="hair">
        <color indexed="64"/>
      </bottom>
      <diagonal/>
    </border>
    <border>
      <left/>
      <right/>
      <top style="hair">
        <color auto="1"/>
      </top>
      <bottom style="hair">
        <color auto="1"/>
      </bottom>
      <diagonal/>
    </border>
    <border>
      <left style="thin">
        <color indexed="64"/>
      </left>
      <right/>
      <top style="thin">
        <color indexed="64"/>
      </top>
      <bottom/>
      <diagonal/>
    </border>
    <border>
      <left/>
      <right style="thin">
        <color indexed="64"/>
      </right>
      <top style="thin">
        <color indexed="64"/>
      </top>
      <bottom/>
      <diagonal/>
    </border>
    <border>
      <left style="medium">
        <color indexed="8"/>
      </left>
      <right/>
      <top style="hair">
        <color indexed="64"/>
      </top>
      <bottom style="hair">
        <color indexed="64"/>
      </bottom>
      <diagonal/>
    </border>
    <border>
      <left/>
      <right style="medium">
        <color indexed="8"/>
      </right>
      <top style="hair">
        <color indexed="64"/>
      </top>
      <bottom style="hair">
        <color indexed="64"/>
      </bottom>
      <diagonal/>
    </border>
    <border>
      <left style="thin">
        <color indexed="8"/>
      </left>
      <right/>
      <top style="hair">
        <color indexed="64"/>
      </top>
      <bottom style="hair">
        <color indexed="64"/>
      </bottom>
      <diagonal/>
    </border>
    <border>
      <left/>
      <right/>
      <top style="hair">
        <color auto="1"/>
      </top>
      <bottom style="hair">
        <color auto="1"/>
      </bottom>
      <diagonal/>
    </border>
    <border>
      <left/>
      <right/>
      <top style="hair">
        <color auto="1"/>
      </top>
      <bottom style="hair">
        <color auto="1"/>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hair">
        <color auto="1"/>
      </top>
      <bottom style="medium">
        <color indexed="64"/>
      </bottom>
      <diagonal/>
    </border>
    <border>
      <left/>
      <right/>
      <top style="hair">
        <color auto="1"/>
      </top>
      <bottom style="medium">
        <color indexed="64"/>
      </bottom>
      <diagonal/>
    </border>
    <border>
      <left/>
      <right style="medium">
        <color indexed="64"/>
      </right>
      <top style="hair">
        <color auto="1"/>
      </top>
      <bottom style="medium">
        <color indexed="64"/>
      </bottom>
      <diagonal/>
    </border>
    <border>
      <left style="medium">
        <color indexed="64"/>
      </left>
      <right/>
      <top style="medium">
        <color indexed="8"/>
      </top>
      <bottom style="medium">
        <color indexed="8"/>
      </bottom>
      <diagonal/>
    </border>
    <border>
      <left/>
      <right style="medium">
        <color indexed="64"/>
      </right>
      <top style="medium">
        <color indexed="8"/>
      </top>
      <bottom style="medium">
        <color indexed="8"/>
      </bottom>
      <diagonal/>
    </border>
    <border>
      <left/>
      <right style="medium">
        <color indexed="64"/>
      </right>
      <top/>
      <bottom style="medium">
        <color indexed="8"/>
      </bottom>
      <diagonal/>
    </border>
    <border>
      <left style="medium">
        <color indexed="64"/>
      </left>
      <right style="medium">
        <color indexed="8"/>
      </right>
      <top style="medium">
        <color indexed="8"/>
      </top>
      <bottom/>
      <diagonal/>
    </border>
    <border>
      <left style="medium">
        <color indexed="8"/>
      </left>
      <right style="medium">
        <color indexed="64"/>
      </right>
      <top/>
      <bottom style="medium">
        <color indexed="8"/>
      </bottom>
      <diagonal/>
    </border>
    <border>
      <left style="medium">
        <color indexed="8"/>
      </left>
      <right style="medium">
        <color indexed="64"/>
      </right>
      <top style="thin">
        <color indexed="8"/>
      </top>
      <bottom/>
      <diagonal/>
    </border>
    <border>
      <left style="medium">
        <color indexed="64"/>
      </left>
      <right style="medium">
        <color indexed="8"/>
      </right>
      <top style="thin">
        <color indexed="8"/>
      </top>
      <bottom style="thin">
        <color indexed="8"/>
      </bottom>
      <diagonal/>
    </border>
    <border>
      <left style="medium">
        <color indexed="64"/>
      </left>
      <right/>
      <top style="thin">
        <color indexed="8"/>
      </top>
      <bottom style="medium">
        <color indexed="8"/>
      </bottom>
      <diagonal/>
    </border>
    <border>
      <left/>
      <right style="medium">
        <color indexed="64"/>
      </right>
      <top style="thin">
        <color indexed="8"/>
      </top>
      <bottom style="medium">
        <color indexed="8"/>
      </bottom>
      <diagonal/>
    </border>
    <border>
      <left/>
      <right/>
      <top style="thin">
        <color indexed="8"/>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style="medium">
        <color indexed="8"/>
      </left>
      <right style="medium">
        <color indexed="8"/>
      </right>
      <top/>
      <bottom style="thin">
        <color indexed="8"/>
      </bottom>
      <diagonal/>
    </border>
    <border>
      <left/>
      <right/>
      <top/>
      <bottom style="thin">
        <color indexed="8"/>
      </bottom>
      <diagonal/>
    </border>
    <border>
      <left style="thin">
        <color indexed="8"/>
      </left>
      <right style="thin">
        <color indexed="8"/>
      </right>
      <top style="thin">
        <color indexed="8"/>
      </top>
      <bottom/>
      <diagonal/>
    </border>
    <border>
      <left style="medium">
        <color indexed="64"/>
      </left>
      <right style="medium">
        <color indexed="8"/>
      </right>
      <top/>
      <bottom style="thin">
        <color indexed="8"/>
      </bottom>
      <diagonal/>
    </border>
    <border>
      <left style="medium">
        <color indexed="64"/>
      </left>
      <right style="medium">
        <color indexed="8"/>
      </right>
      <top style="medium">
        <color indexed="8"/>
      </top>
      <bottom style="medium">
        <color indexed="64"/>
      </bottom>
      <diagonal/>
    </border>
    <border>
      <left style="medium">
        <color indexed="8"/>
      </left>
      <right style="medium">
        <color indexed="8"/>
      </right>
      <top style="medium">
        <color indexed="8"/>
      </top>
      <bottom style="medium">
        <color indexed="64"/>
      </bottom>
      <diagonal/>
    </border>
    <border>
      <left style="medium">
        <color indexed="64"/>
      </left>
      <right style="medium">
        <color indexed="64"/>
      </right>
      <top style="hair">
        <color indexed="64"/>
      </top>
      <bottom/>
      <diagonal/>
    </border>
    <border>
      <left style="medium">
        <color indexed="8"/>
      </left>
      <right style="medium">
        <color indexed="8"/>
      </right>
      <top style="hair">
        <color indexed="8"/>
      </top>
      <bottom/>
      <diagonal/>
    </border>
    <border>
      <left style="medium">
        <color indexed="64"/>
      </left>
      <right style="medium">
        <color indexed="64"/>
      </right>
      <top/>
      <bottom style="hair">
        <color indexed="64"/>
      </bottom>
      <diagonal/>
    </border>
    <border>
      <left/>
      <right style="medium">
        <color indexed="64"/>
      </right>
      <top style="medium">
        <color indexed="8"/>
      </top>
      <bottom/>
      <diagonal/>
    </border>
    <border>
      <left style="medium">
        <color indexed="8"/>
      </left>
      <right style="medium">
        <color indexed="64"/>
      </right>
      <top/>
      <bottom/>
      <diagonal/>
    </border>
    <border>
      <left style="medium">
        <color indexed="8"/>
      </left>
      <right style="medium">
        <color indexed="8"/>
      </right>
      <top style="thin">
        <color indexed="8"/>
      </top>
      <bottom style="medium">
        <color indexed="64"/>
      </bottom>
      <diagonal/>
    </border>
    <border>
      <left style="medium">
        <color indexed="8"/>
      </left>
      <right style="medium">
        <color indexed="64"/>
      </right>
      <top/>
      <bottom style="medium">
        <color indexed="64"/>
      </bottom>
      <diagonal/>
    </border>
    <border>
      <left style="medium">
        <color indexed="8"/>
      </left>
      <right/>
      <top style="medium">
        <color indexed="8"/>
      </top>
      <bottom/>
      <diagonal/>
    </border>
    <border>
      <left style="medium">
        <color indexed="64"/>
      </left>
      <right/>
      <top style="medium">
        <color indexed="8"/>
      </top>
      <bottom/>
      <diagonal/>
    </border>
    <border>
      <left/>
      <right/>
      <top style="medium">
        <color indexed="8"/>
      </top>
      <bottom/>
      <diagonal/>
    </border>
    <border>
      <left style="medium">
        <color indexed="64"/>
      </left>
      <right style="medium">
        <color indexed="8"/>
      </right>
      <top style="medium">
        <color indexed="64"/>
      </top>
      <bottom style="thin">
        <color indexed="8"/>
      </bottom>
      <diagonal/>
    </border>
    <border>
      <left style="medium">
        <color indexed="8"/>
      </left>
      <right style="medium">
        <color indexed="8"/>
      </right>
      <top style="medium">
        <color indexed="64"/>
      </top>
      <bottom style="thin">
        <color indexed="8"/>
      </bottom>
      <diagonal/>
    </border>
    <border>
      <left style="medium">
        <color indexed="8"/>
      </left>
      <right/>
      <top style="medium">
        <color indexed="64"/>
      </top>
      <bottom style="thin">
        <color indexed="8"/>
      </bottom>
      <diagonal/>
    </border>
    <border>
      <left style="medium">
        <color indexed="8"/>
      </left>
      <right style="medium">
        <color indexed="8"/>
      </right>
      <top style="medium">
        <color indexed="64"/>
      </top>
      <bottom/>
      <diagonal/>
    </border>
    <border>
      <left style="medium">
        <color indexed="8"/>
      </left>
      <right style="medium">
        <color indexed="64"/>
      </right>
      <top style="medium">
        <color indexed="64"/>
      </top>
      <bottom/>
      <diagonal/>
    </border>
    <border>
      <left style="medium">
        <color indexed="64"/>
      </left>
      <right style="medium">
        <color indexed="8"/>
      </right>
      <top style="thin">
        <color indexed="8"/>
      </top>
      <bottom style="medium">
        <color indexed="64"/>
      </bottom>
      <diagonal/>
    </border>
    <border>
      <left style="medium">
        <color indexed="8"/>
      </left>
      <right/>
      <top style="thin">
        <color indexed="8"/>
      </top>
      <bottom style="medium">
        <color indexed="64"/>
      </bottom>
      <diagonal/>
    </border>
    <border>
      <left/>
      <right style="medium">
        <color indexed="8"/>
      </right>
      <top style="thin">
        <color indexed="8"/>
      </top>
      <bottom style="medium">
        <color indexed="64"/>
      </bottom>
      <diagonal/>
    </border>
    <border>
      <left style="medium">
        <color indexed="8"/>
      </left>
      <right style="medium">
        <color indexed="64"/>
      </right>
      <top style="thin">
        <color indexed="8"/>
      </top>
      <bottom style="medium">
        <color indexed="64"/>
      </bottom>
      <diagonal/>
    </border>
    <border>
      <left style="thin">
        <color indexed="8"/>
      </left>
      <right/>
      <top/>
      <bottom style="medium">
        <color indexed="64"/>
      </bottom>
      <diagonal/>
    </border>
    <border>
      <left style="medium">
        <color indexed="64"/>
      </left>
      <right style="medium">
        <color indexed="8"/>
      </right>
      <top style="medium">
        <color indexed="8"/>
      </top>
      <bottom style="hair">
        <color indexed="64"/>
      </bottom>
      <diagonal/>
    </border>
    <border>
      <left style="medium">
        <color indexed="8"/>
      </left>
      <right/>
      <top style="medium">
        <color indexed="8"/>
      </top>
      <bottom style="hair">
        <color indexed="64"/>
      </bottom>
      <diagonal/>
    </border>
    <border>
      <left/>
      <right/>
      <top style="medium">
        <color indexed="8"/>
      </top>
      <bottom style="hair">
        <color indexed="64"/>
      </bottom>
      <diagonal/>
    </border>
    <border>
      <left/>
      <right style="medium">
        <color indexed="8"/>
      </right>
      <top style="medium">
        <color indexed="8"/>
      </top>
      <bottom style="hair">
        <color indexed="64"/>
      </bottom>
      <diagonal/>
    </border>
    <border>
      <left style="medium">
        <color indexed="8"/>
      </left>
      <right style="medium">
        <color indexed="8"/>
      </right>
      <top style="medium">
        <color indexed="8"/>
      </top>
      <bottom style="hair">
        <color indexed="64"/>
      </bottom>
      <diagonal/>
    </border>
    <border>
      <left style="medium">
        <color indexed="8"/>
      </left>
      <right style="medium">
        <color indexed="64"/>
      </right>
      <top style="medium">
        <color indexed="8"/>
      </top>
      <bottom style="hair">
        <color indexed="64"/>
      </bottom>
      <diagonal/>
    </border>
    <border>
      <left style="medium">
        <color indexed="8"/>
      </left>
      <right style="medium">
        <color indexed="64"/>
      </right>
      <top style="hair">
        <color indexed="64"/>
      </top>
      <bottom style="hair">
        <color indexed="64"/>
      </bottom>
      <diagonal/>
    </border>
    <border>
      <left style="medium">
        <color indexed="8"/>
      </left>
      <right/>
      <top/>
      <bottom style="thin">
        <color indexed="8"/>
      </bottom>
      <diagonal/>
    </border>
    <border>
      <left style="thin">
        <color indexed="8"/>
      </left>
      <right style="thin">
        <color indexed="8"/>
      </right>
      <top style="hair">
        <color indexed="64"/>
      </top>
      <bottom style="hair">
        <color indexed="64"/>
      </bottom>
      <diagonal/>
    </border>
    <border>
      <left/>
      <right style="thin">
        <color indexed="8"/>
      </right>
      <top style="hair">
        <color indexed="64"/>
      </top>
      <bottom style="hair">
        <color indexed="64"/>
      </bottom>
      <diagonal/>
    </border>
    <border>
      <left style="medium">
        <color indexed="64"/>
      </left>
      <right style="medium">
        <color indexed="8"/>
      </right>
      <top/>
      <bottom style="hair">
        <color indexed="64"/>
      </bottom>
      <diagonal/>
    </border>
    <border>
      <left/>
      <right style="medium">
        <color indexed="8"/>
      </right>
      <top/>
      <bottom style="thin">
        <color indexed="8"/>
      </bottom>
      <diagonal/>
    </border>
    <border>
      <left style="medium">
        <color indexed="8"/>
      </left>
      <right/>
      <top style="thin">
        <color indexed="8"/>
      </top>
      <bottom/>
      <diagonal/>
    </border>
    <border>
      <left style="medium">
        <color indexed="64"/>
      </left>
      <right/>
      <top style="thin">
        <color indexed="8"/>
      </top>
      <bottom/>
      <diagonal/>
    </border>
    <border>
      <left style="medium">
        <color indexed="64"/>
      </left>
      <right style="medium">
        <color indexed="8"/>
      </right>
      <top style="medium">
        <color indexed="64"/>
      </top>
      <bottom/>
      <diagonal/>
    </border>
    <border>
      <left style="medium">
        <color indexed="8"/>
      </left>
      <right style="medium">
        <color indexed="8"/>
      </right>
      <top style="medium">
        <color indexed="64"/>
      </top>
      <bottom style="medium">
        <color indexed="8"/>
      </bottom>
      <diagonal/>
    </border>
    <border>
      <left style="medium">
        <color indexed="8"/>
      </left>
      <right/>
      <top style="medium">
        <color indexed="64"/>
      </top>
      <bottom/>
      <diagonal/>
    </border>
    <border>
      <left style="medium">
        <color indexed="8"/>
      </left>
      <right style="medium">
        <color indexed="8"/>
      </right>
      <top/>
      <bottom style="medium">
        <color indexed="64"/>
      </bottom>
      <diagonal/>
    </border>
    <border>
      <left style="medium">
        <color indexed="64"/>
      </left>
      <right style="medium">
        <color indexed="64"/>
      </right>
      <top/>
      <bottom style="medium">
        <color indexed="8"/>
      </bottom>
      <diagonal/>
    </border>
    <border>
      <left style="thin">
        <color indexed="64"/>
      </left>
      <right/>
      <top style="hair">
        <color indexed="64"/>
      </top>
      <bottom/>
      <diagonal/>
    </border>
    <border>
      <left/>
      <right style="thin">
        <color indexed="64"/>
      </right>
      <top style="hair">
        <color indexed="64"/>
      </top>
      <bottom/>
      <diagonal/>
    </border>
    <border>
      <left/>
      <right style="medium">
        <color indexed="64"/>
      </right>
      <top style="medium">
        <color indexed="64"/>
      </top>
      <bottom style="medium">
        <color indexed="8"/>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s>
  <cellStyleXfs count="417">
    <xf numFmtId="0" fontId="0" fillId="0" borderId="0"/>
    <xf numFmtId="164" fontId="11" fillId="0" borderId="0" applyFill="0" applyBorder="0" applyAlignment="0" applyProtection="0"/>
    <xf numFmtId="0" fontId="11" fillId="0" borderId="0"/>
    <xf numFmtId="165" fontId="11" fillId="0" borderId="0" applyFont="0" applyFill="0" applyBorder="0" applyAlignment="0" applyProtection="0"/>
    <xf numFmtId="0" fontId="10" fillId="0" borderId="0"/>
    <xf numFmtId="0" fontId="18" fillId="0" borderId="0"/>
    <xf numFmtId="9" fontId="18" fillId="0" borderId="0" applyFont="0" applyFill="0" applyBorder="0" applyAlignment="0" applyProtection="0"/>
    <xf numFmtId="0" fontId="9" fillId="0" borderId="0"/>
    <xf numFmtId="43" fontId="9" fillId="0" borderId="0" applyFont="0" applyFill="0" applyBorder="0" applyAlignment="0" applyProtection="0"/>
    <xf numFmtId="9" fontId="9" fillId="0" borderId="0" applyFont="0" applyFill="0" applyBorder="0" applyAlignment="0" applyProtection="0"/>
    <xf numFmtId="0" fontId="21" fillId="0" borderId="0"/>
    <xf numFmtId="9" fontId="21" fillId="0" borderId="0" applyFont="0" applyFill="0" applyBorder="0" applyAlignment="0" applyProtection="0"/>
    <xf numFmtId="0" fontId="22" fillId="8" borderId="0" applyNumberFormat="0" applyBorder="0" applyAlignment="0" applyProtection="0"/>
    <xf numFmtId="0" fontId="22" fillId="9" borderId="0" applyNumberFormat="0" applyBorder="0" applyAlignment="0" applyProtection="0"/>
    <xf numFmtId="0" fontId="22" fillId="10" borderId="0" applyNumberFormat="0" applyBorder="0" applyAlignment="0" applyProtection="0"/>
    <xf numFmtId="0" fontId="22" fillId="8" borderId="0" applyNumberFormat="0" applyBorder="0" applyAlignment="0" applyProtection="0"/>
    <xf numFmtId="0" fontId="22" fillId="11" borderId="0" applyNumberFormat="0" applyBorder="0" applyAlignment="0" applyProtection="0"/>
    <xf numFmtId="0" fontId="22" fillId="9" borderId="0" applyNumberFormat="0" applyBorder="0" applyAlignment="0" applyProtection="0"/>
    <xf numFmtId="0" fontId="22" fillId="8" borderId="0" applyNumberFormat="0" applyBorder="0" applyAlignment="0" applyProtection="0"/>
    <xf numFmtId="0" fontId="22" fillId="12" borderId="0" applyNumberFormat="0" applyBorder="0" applyAlignment="0" applyProtection="0"/>
    <xf numFmtId="0" fontId="22" fillId="10" borderId="0" applyNumberFormat="0" applyBorder="0" applyAlignment="0" applyProtection="0"/>
    <xf numFmtId="0" fontId="22" fillId="8" borderId="0" applyNumberFormat="0" applyBorder="0" applyAlignment="0" applyProtection="0"/>
    <xf numFmtId="0" fontId="22" fillId="13" borderId="0" applyNumberFormat="0" applyBorder="0" applyAlignment="0" applyProtection="0"/>
    <xf numFmtId="0" fontId="22" fillId="9" borderId="0" applyNumberFormat="0" applyBorder="0" applyAlignment="0" applyProtection="0"/>
    <xf numFmtId="0" fontId="23" fillId="14" borderId="0" applyNumberFormat="0" applyBorder="0" applyAlignment="0" applyProtection="0"/>
    <xf numFmtId="0" fontId="23" fillId="12" borderId="0" applyNumberFormat="0" applyBorder="0" applyAlignment="0" applyProtection="0"/>
    <xf numFmtId="0" fontId="23" fillId="10" borderId="0" applyNumberFormat="0" applyBorder="0" applyAlignment="0" applyProtection="0"/>
    <xf numFmtId="0" fontId="23" fillId="15" borderId="0" applyNumberFormat="0" applyBorder="0" applyAlignment="0" applyProtection="0"/>
    <xf numFmtId="0" fontId="23" fillId="14" borderId="0" applyNumberFormat="0" applyBorder="0" applyAlignment="0" applyProtection="0"/>
    <xf numFmtId="0" fontId="23" fillId="9" borderId="0" applyNumberFormat="0" applyBorder="0" applyAlignment="0" applyProtection="0"/>
    <xf numFmtId="0" fontId="24" fillId="16" borderId="0" applyNumberFormat="0" applyBorder="0" applyAlignment="0" applyProtection="0"/>
    <xf numFmtId="0" fontId="25" fillId="17" borderId="56" applyNumberFormat="0" applyAlignment="0" applyProtection="0"/>
    <xf numFmtId="0" fontId="26" fillId="15" borderId="57" applyNumberFormat="0" applyAlignment="0" applyProtection="0"/>
    <xf numFmtId="0" fontId="27" fillId="0" borderId="58" applyNumberFormat="0" applyFill="0" applyAlignment="0" applyProtection="0"/>
    <xf numFmtId="0" fontId="11" fillId="0" borderId="0" applyFont="0" applyFill="0" applyProtection="0">
      <alignment vertical="top"/>
    </xf>
    <xf numFmtId="0" fontId="23" fillId="14" borderId="0" applyNumberFormat="0" applyBorder="0" applyAlignment="0" applyProtection="0"/>
    <xf numFmtId="0" fontId="23" fillId="18" borderId="0" applyNumberFormat="0" applyBorder="0" applyAlignment="0" applyProtection="0"/>
    <xf numFmtId="0" fontId="23" fillId="19" borderId="0" applyNumberFormat="0" applyBorder="0" applyAlignment="0" applyProtection="0"/>
    <xf numFmtId="0" fontId="23" fillId="20" borderId="0" applyNumberFormat="0" applyBorder="0" applyAlignment="0" applyProtection="0"/>
    <xf numFmtId="0" fontId="23" fillId="14" borderId="0" applyNumberFormat="0" applyBorder="0" applyAlignment="0" applyProtection="0"/>
    <xf numFmtId="0" fontId="23" fillId="21" borderId="0" applyNumberFormat="0" applyBorder="0" applyAlignment="0" applyProtection="0"/>
    <xf numFmtId="0" fontId="28" fillId="9" borderId="56" applyNumberFormat="0" applyAlignment="0" applyProtection="0"/>
    <xf numFmtId="168" fontId="11" fillId="0" borderId="0" applyFont="0" applyFill="0" applyBorder="0" applyAlignment="0" applyProtection="0"/>
    <xf numFmtId="2" fontId="11" fillId="0" borderId="0" applyFont="0" applyFill="0" applyProtection="0">
      <alignment vertical="top"/>
    </xf>
    <xf numFmtId="0" fontId="29" fillId="22" borderId="0" applyNumberFormat="0" applyBorder="0" applyAlignment="0" applyProtection="0"/>
    <xf numFmtId="3" fontId="11" fillId="0" borderId="0" applyFont="0" applyFill="0" applyBorder="0" applyAlignment="0" applyProtection="0"/>
    <xf numFmtId="0" fontId="30" fillId="9" borderId="0" applyNumberFormat="0" applyBorder="0" applyAlignment="0" applyProtection="0"/>
    <xf numFmtId="0" fontId="11" fillId="0" borderId="0"/>
    <xf numFmtId="0" fontId="31" fillId="0" borderId="0"/>
    <xf numFmtId="0" fontId="31" fillId="0" borderId="0"/>
    <xf numFmtId="0" fontId="31" fillId="0" borderId="0"/>
    <xf numFmtId="0" fontId="31" fillId="0" borderId="0"/>
    <xf numFmtId="0" fontId="9" fillId="0" borderId="0"/>
    <xf numFmtId="0" fontId="32" fillId="0" borderId="0"/>
    <xf numFmtId="0" fontId="11" fillId="10" borderId="59" applyNumberFormat="0" applyFont="0" applyAlignment="0" applyProtection="0"/>
    <xf numFmtId="0" fontId="33" fillId="17" borderId="60" applyNumberFormat="0" applyAlignment="0" applyProtection="0"/>
    <xf numFmtId="0" fontId="34" fillId="0" borderId="0" applyNumberFormat="0" applyFill="0" applyBorder="0" applyAlignment="0" applyProtection="0"/>
    <xf numFmtId="0" fontId="35" fillId="0" borderId="0" applyNumberFormat="0" applyFill="0" applyBorder="0" applyAlignment="0" applyProtection="0"/>
    <xf numFmtId="0" fontId="36" fillId="0" borderId="61" applyNumberFormat="0" applyFill="0" applyAlignment="0" applyProtection="0"/>
    <xf numFmtId="0" fontId="37" fillId="0" borderId="62" applyNumberFormat="0" applyFill="0" applyAlignment="0" applyProtection="0"/>
    <xf numFmtId="0" fontId="38" fillId="0" borderId="63" applyNumberFormat="0" applyFill="0" applyAlignment="0" applyProtection="0"/>
    <xf numFmtId="0" fontId="38" fillId="0" borderId="0" applyNumberFormat="0" applyFill="0" applyBorder="0" applyAlignment="0" applyProtection="0"/>
    <xf numFmtId="0" fontId="39" fillId="0" borderId="0" applyNumberFormat="0" applyFill="0" applyBorder="0" applyAlignment="0" applyProtection="0"/>
    <xf numFmtId="0" fontId="40" fillId="0" borderId="64" applyNumberFormat="0" applyFill="0" applyAlignment="0" applyProtection="0"/>
    <xf numFmtId="167" fontId="31" fillId="0" borderId="0" applyFont="0" applyFill="0" applyBorder="0" applyAlignment="0" applyProtection="0"/>
    <xf numFmtId="167" fontId="11" fillId="0" borderId="0" applyFont="0" applyFill="0" applyBorder="0" applyAlignment="0" applyProtection="0"/>
    <xf numFmtId="3" fontId="11" fillId="0" borderId="0" applyFont="0" applyFill="0" applyBorder="0" applyAlignment="0" applyProtection="0"/>
    <xf numFmtId="0" fontId="11" fillId="0" borderId="0"/>
    <xf numFmtId="0" fontId="31" fillId="0" borderId="0"/>
    <xf numFmtId="0" fontId="48" fillId="0" borderId="0"/>
    <xf numFmtId="0" fontId="8" fillId="0" borderId="0"/>
    <xf numFmtId="43" fontId="8" fillId="0" borderId="0" applyFont="0" applyFill="0" applyBorder="0" applyAlignment="0" applyProtection="0"/>
    <xf numFmtId="0" fontId="7" fillId="0" borderId="0"/>
    <xf numFmtId="0" fontId="11" fillId="0" borderId="0"/>
    <xf numFmtId="3" fontId="50" fillId="0" borderId="0" applyFont="0" applyFill="0" applyBorder="0" applyAlignment="0" applyProtection="0"/>
    <xf numFmtId="170" fontId="50" fillId="0" borderId="0" applyFont="0" applyFill="0" applyBorder="0" applyAlignment="0" applyProtection="0"/>
    <xf numFmtId="0" fontId="50" fillId="0" borderId="0" applyFont="0" applyFill="0" applyBorder="0" applyAlignment="0" applyProtection="0"/>
    <xf numFmtId="2" fontId="50" fillId="0" borderId="0" applyFon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xf numFmtId="0" fontId="53" fillId="0" borderId="0" applyNumberFormat="0" applyFill="0" applyBorder="0" applyAlignment="0" applyProtection="0">
      <alignment vertical="top"/>
      <protection locked="0"/>
    </xf>
    <xf numFmtId="171" fontId="11" fillId="0" borderId="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7" fillId="0" borderId="0"/>
    <xf numFmtId="0" fontId="7" fillId="0" borderId="0"/>
    <xf numFmtId="0" fontId="7" fillId="0" borderId="0"/>
    <xf numFmtId="0" fontId="11" fillId="0" borderId="0"/>
    <xf numFmtId="0" fontId="7" fillId="0" borderId="0"/>
    <xf numFmtId="0" fontId="54" fillId="0" borderId="0"/>
    <xf numFmtId="0" fontId="7" fillId="0" borderId="0"/>
    <xf numFmtId="0" fontId="11" fillId="0" borderId="0"/>
    <xf numFmtId="173" fontId="11" fillId="0" borderId="0"/>
    <xf numFmtId="174" fontId="11" fillId="0" borderId="0"/>
    <xf numFmtId="0" fontId="11" fillId="0" borderId="0"/>
    <xf numFmtId="0" fontId="7" fillId="0" borderId="0"/>
    <xf numFmtId="0" fontId="7" fillId="0" borderId="0"/>
    <xf numFmtId="0" fontId="7" fillId="0" borderId="0"/>
    <xf numFmtId="0" fontId="11" fillId="0" borderId="0" applyNumberFormat="0" applyFont="0" applyFill="0" applyBorder="0" applyAlignment="0" applyProtection="0">
      <alignment vertical="top"/>
    </xf>
    <xf numFmtId="0" fontId="11" fillId="0" borderId="0"/>
    <xf numFmtId="0" fontId="7" fillId="0" borderId="0"/>
    <xf numFmtId="0" fontId="7" fillId="0" borderId="0"/>
    <xf numFmtId="0" fontId="11" fillId="0" borderId="0"/>
    <xf numFmtId="0" fontId="11" fillId="0" borderId="0"/>
    <xf numFmtId="0" fontId="11" fillId="0" borderId="0"/>
    <xf numFmtId="9" fontId="7" fillId="0" borderId="0" applyFont="0" applyFill="0" applyBorder="0" applyAlignment="0" applyProtection="0"/>
    <xf numFmtId="9" fontId="22" fillId="0" borderId="0" applyFont="0" applyFill="0" applyBorder="0" applyAlignment="0" applyProtection="0"/>
    <xf numFmtId="9" fontId="7"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4" fontId="11" fillId="0" borderId="0" applyFill="0" applyBorder="0" applyAlignment="0" applyProtection="0"/>
    <xf numFmtId="4" fontId="50" fillId="0" borderId="0" applyFont="0" applyFill="0" applyBorder="0" applyAlignment="0" applyProtection="0"/>
    <xf numFmtId="167" fontId="11" fillId="0" borderId="0" applyFont="0" applyFill="0" applyBorder="0" applyAlignment="0" applyProtection="0"/>
    <xf numFmtId="167" fontId="7" fillId="0" borderId="0" applyFont="0" applyFill="0" applyBorder="0" applyAlignment="0" applyProtection="0"/>
    <xf numFmtId="0" fontId="36" fillId="0" borderId="61" applyNumberFormat="0" applyFill="0" applyAlignment="0" applyProtection="0"/>
    <xf numFmtId="175" fontId="11" fillId="0" borderId="0"/>
    <xf numFmtId="0" fontId="6" fillId="0" borderId="0"/>
    <xf numFmtId="0" fontId="6" fillId="0" borderId="0"/>
    <xf numFmtId="0" fontId="61" fillId="0" borderId="0"/>
    <xf numFmtId="9" fontId="61" fillId="0" borderId="0" applyFont="0" applyFill="0" applyBorder="0" applyAlignment="0" applyProtection="0"/>
    <xf numFmtId="0" fontId="5"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0" fontId="11" fillId="0" borderId="0"/>
    <xf numFmtId="0" fontId="11" fillId="0" borderId="0"/>
    <xf numFmtId="167" fontId="11" fillId="0" borderId="0" applyFont="0" applyFill="0" applyBorder="0" applyAlignment="0" applyProtection="0"/>
    <xf numFmtId="0" fontId="82" fillId="0" borderId="0"/>
    <xf numFmtId="164" fontId="82"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31" fillId="0" borderId="0"/>
    <xf numFmtId="0" fontId="4" fillId="0" borderId="0"/>
    <xf numFmtId="9" fontId="4" fillId="0" borderId="0" applyFont="0" applyFill="0" applyBorder="0" applyAlignment="0" applyProtection="0"/>
    <xf numFmtId="9" fontId="4" fillId="0" borderId="0" applyFont="0" applyFill="0" applyBorder="0" applyAlignment="0" applyProtection="0"/>
    <xf numFmtId="9" fontId="11" fillId="0" borderId="0" applyFont="0" applyFill="0" applyBorder="0" applyAlignment="0" applyProtection="0"/>
    <xf numFmtId="9" fontId="4" fillId="0" borderId="0" applyFont="0" applyFill="0" applyBorder="0" applyAlignment="0" applyProtection="0"/>
    <xf numFmtId="9" fontId="11" fillId="0" borderId="0" applyFont="0" applyFill="0" applyBorder="0" applyAlignment="0" applyProtection="0"/>
    <xf numFmtId="9" fontId="4" fillId="0" borderId="0" applyFont="0" applyFill="0" applyBorder="0" applyAlignment="0" applyProtection="0"/>
    <xf numFmtId="9" fontId="1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167" fontId="4" fillId="0" borderId="0" applyFont="0" applyFill="0" applyBorder="0" applyAlignment="0" applyProtection="0"/>
    <xf numFmtId="43" fontId="4" fillId="0" borderId="0" applyFont="0" applyFill="0" applyBorder="0" applyAlignment="0" applyProtection="0"/>
    <xf numFmtId="174" fontId="11" fillId="0" borderId="0"/>
    <xf numFmtId="0" fontId="3" fillId="0" borderId="0"/>
    <xf numFmtId="0" fontId="3" fillId="0" borderId="0"/>
    <xf numFmtId="174"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035">
    <xf numFmtId="0" fontId="0" fillId="0" borderId="0" xfId="0"/>
    <xf numFmtId="0" fontId="11" fillId="0" borderId="0" xfId="2"/>
    <xf numFmtId="0" fontId="11" fillId="0" borderId="0" xfId="2" applyAlignment="1">
      <alignment horizontal="center"/>
    </xf>
    <xf numFmtId="0" fontId="12" fillId="2" borderId="5" xfId="2" applyFont="1" applyFill="1" applyBorder="1" applyAlignment="1">
      <alignment vertical="center"/>
    </xf>
    <xf numFmtId="0" fontId="12" fillId="2" borderId="6" xfId="2" applyFont="1" applyFill="1" applyBorder="1" applyAlignment="1">
      <alignment vertical="center"/>
    </xf>
    <xf numFmtId="0" fontId="12" fillId="2" borderId="6" xfId="2" applyFont="1" applyFill="1" applyBorder="1" applyAlignment="1">
      <alignment horizontal="center" vertical="center"/>
    </xf>
    <xf numFmtId="0" fontId="12" fillId="2" borderId="7" xfId="2" applyFont="1" applyFill="1" applyBorder="1" applyAlignment="1">
      <alignment horizontal="center" vertical="center"/>
    </xf>
    <xf numFmtId="4" fontId="11" fillId="0" borderId="10" xfId="1" applyNumberFormat="1" applyFont="1" applyFill="1" applyBorder="1" applyAlignment="1" applyProtection="1">
      <alignment horizontal="center" vertical="center"/>
    </xf>
    <xf numFmtId="4" fontId="11" fillId="0" borderId="11" xfId="1" applyNumberFormat="1" applyFont="1" applyFill="1" applyBorder="1" applyAlignment="1" applyProtection="1">
      <alignment horizontal="center" vertical="center"/>
    </xf>
    <xf numFmtId="0" fontId="12" fillId="0" borderId="13" xfId="2" applyNumberFormat="1" applyFont="1" applyBorder="1" applyAlignment="1">
      <alignment horizontal="left" vertical="center"/>
    </xf>
    <xf numFmtId="0" fontId="13" fillId="3" borderId="15" xfId="3" applyNumberFormat="1" applyFont="1" applyFill="1" applyBorder="1" applyAlignment="1" applyProtection="1">
      <alignment horizontal="left" vertical="center"/>
    </xf>
    <xf numFmtId="0" fontId="11" fillId="2" borderId="16" xfId="3" applyNumberFormat="1" applyFont="1" applyFill="1" applyBorder="1" applyAlignment="1" applyProtection="1">
      <alignment horizontal="left" vertical="center"/>
    </xf>
    <xf numFmtId="0" fontId="11" fillId="2" borderId="16" xfId="2" applyNumberFormat="1" applyFont="1" applyFill="1" applyBorder="1" applyAlignment="1">
      <alignment horizontal="left" vertical="center"/>
    </xf>
    <xf numFmtId="0" fontId="12" fillId="2" borderId="16" xfId="2" applyNumberFormat="1" applyFont="1" applyFill="1" applyBorder="1" applyAlignment="1">
      <alignment horizontal="left" vertical="center"/>
    </xf>
    <xf numFmtId="0" fontId="12" fillId="2" borderId="16" xfId="2" applyNumberFormat="1" applyFont="1" applyFill="1" applyBorder="1" applyAlignment="1">
      <alignment horizontal="center" vertical="center"/>
    </xf>
    <xf numFmtId="0" fontId="12" fillId="2" borderId="17" xfId="2" applyNumberFormat="1" applyFont="1" applyFill="1" applyBorder="1" applyAlignment="1">
      <alignment horizontal="center" vertical="center"/>
    </xf>
    <xf numFmtId="0" fontId="11" fillId="5" borderId="15" xfId="3" applyNumberFormat="1" applyFont="1" applyFill="1" applyBorder="1" applyAlignment="1" applyProtection="1">
      <alignment horizontal="left" vertical="center"/>
    </xf>
    <xf numFmtId="0" fontId="11" fillId="5" borderId="16" xfId="3" applyNumberFormat="1" applyFont="1" applyFill="1" applyBorder="1" applyAlignment="1" applyProtection="1">
      <alignment horizontal="left" vertical="center"/>
    </xf>
    <xf numFmtId="0" fontId="11" fillId="5" borderId="16" xfId="2" applyNumberFormat="1" applyFont="1" applyFill="1" applyBorder="1" applyAlignment="1">
      <alignment horizontal="left" vertical="center"/>
    </xf>
    <xf numFmtId="0" fontId="12" fillId="5" borderId="16" xfId="2" applyNumberFormat="1" applyFont="1" applyFill="1" applyBorder="1" applyAlignment="1">
      <alignment horizontal="left" vertical="center"/>
    </xf>
    <xf numFmtId="0" fontId="12" fillId="5" borderId="16" xfId="2" applyNumberFormat="1" applyFont="1" applyFill="1" applyBorder="1" applyAlignment="1">
      <alignment horizontal="center" vertical="center"/>
    </xf>
    <xf numFmtId="0" fontId="12" fillId="5" borderId="17" xfId="2" applyNumberFormat="1" applyFont="1" applyFill="1" applyBorder="1" applyAlignment="1">
      <alignment horizontal="center" vertical="center"/>
    </xf>
    <xf numFmtId="0" fontId="15" fillId="0" borderId="0" xfId="2" applyFont="1"/>
    <xf numFmtId="0" fontId="11" fillId="6" borderId="10" xfId="2" applyNumberFormat="1" applyFont="1" applyFill="1" applyBorder="1" applyAlignment="1">
      <alignment horizontal="center" vertical="center"/>
    </xf>
    <xf numFmtId="0" fontId="11" fillId="6" borderId="21" xfId="2" applyNumberFormat="1" applyFont="1" applyFill="1" applyBorder="1" applyAlignment="1">
      <alignment horizontal="left" vertical="center"/>
    </xf>
    <xf numFmtId="0" fontId="11" fillId="0" borderId="0" xfId="2" applyFont="1"/>
    <xf numFmtId="0" fontId="12" fillId="5" borderId="15" xfId="3" applyNumberFormat="1" applyFont="1" applyFill="1" applyBorder="1" applyAlignment="1" applyProtection="1">
      <alignment horizontal="left" vertical="center"/>
    </xf>
    <xf numFmtId="0" fontId="0" fillId="0" borderId="22" xfId="2" applyNumberFormat="1" applyFont="1" applyBorder="1" applyAlignment="1">
      <alignment horizontal="center" vertical="center"/>
    </xf>
    <xf numFmtId="0" fontId="11" fillId="0" borderId="11" xfId="2" applyNumberFormat="1" applyFont="1" applyBorder="1" applyAlignment="1">
      <alignment horizontal="center" vertical="center"/>
    </xf>
    <xf numFmtId="4" fontId="11" fillId="0" borderId="35" xfId="1" applyNumberFormat="1" applyFont="1" applyFill="1" applyBorder="1" applyAlignment="1" applyProtection="1">
      <alignment horizontal="right" vertical="center"/>
    </xf>
    <xf numFmtId="4" fontId="11" fillId="0" borderId="35" xfId="1" applyNumberFormat="1" applyFont="1" applyFill="1" applyBorder="1" applyAlignment="1" applyProtection="1">
      <alignment horizontal="center" vertical="center"/>
    </xf>
    <xf numFmtId="0" fontId="11" fillId="0" borderId="35" xfId="2" applyNumberFormat="1" applyFont="1" applyFill="1" applyBorder="1" applyAlignment="1">
      <alignment horizontal="center" vertical="center"/>
    </xf>
    <xf numFmtId="0" fontId="11" fillId="0" borderId="36" xfId="2" applyNumberFormat="1" applyFont="1" applyFill="1" applyBorder="1" applyAlignment="1">
      <alignment horizontal="left" vertical="center"/>
    </xf>
    <xf numFmtId="0" fontId="11" fillId="0" borderId="0" xfId="2" applyAlignment="1">
      <alignment vertical="center"/>
    </xf>
    <xf numFmtId="0" fontId="0" fillId="0" borderId="10" xfId="2" applyNumberFormat="1" applyFont="1" applyBorder="1" applyAlignment="1">
      <alignment horizontal="center" vertical="center"/>
    </xf>
    <xf numFmtId="0" fontId="0" fillId="4" borderId="10" xfId="2" applyNumberFormat="1" applyFont="1" applyFill="1" applyBorder="1" applyAlignment="1">
      <alignment horizontal="center" vertical="center"/>
    </xf>
    <xf numFmtId="0" fontId="11" fillId="0" borderId="0" xfId="2" applyFill="1"/>
    <xf numFmtId="0" fontId="12" fillId="0" borderId="35" xfId="2" applyNumberFormat="1" applyFont="1" applyFill="1" applyBorder="1" applyAlignment="1">
      <alignment horizontal="center" vertical="center"/>
    </xf>
    <xf numFmtId="0" fontId="12" fillId="0" borderId="38" xfId="2" applyNumberFormat="1" applyFont="1" applyFill="1" applyBorder="1" applyAlignment="1">
      <alignment horizontal="left" vertical="center"/>
    </xf>
    <xf numFmtId="4" fontId="11" fillId="0" borderId="53" xfId="1" applyNumberFormat="1" applyFont="1" applyFill="1" applyBorder="1" applyAlignment="1" applyProtection="1">
      <alignment horizontal="center" vertical="center"/>
    </xf>
    <xf numFmtId="4" fontId="12" fillId="2" borderId="17" xfId="2" applyNumberFormat="1" applyFont="1" applyFill="1" applyBorder="1" applyAlignment="1">
      <alignment horizontal="center" vertical="center"/>
    </xf>
    <xf numFmtId="4" fontId="12" fillId="7" borderId="15" xfId="1" applyNumberFormat="1" applyFont="1" applyFill="1" applyBorder="1" applyAlignment="1" applyProtection="1">
      <alignment horizontal="right" vertical="center"/>
    </xf>
    <xf numFmtId="4" fontId="12" fillId="2" borderId="39" xfId="2" applyNumberFormat="1" applyFont="1" applyFill="1" applyBorder="1" applyAlignment="1">
      <alignment horizontal="center" vertical="center"/>
    </xf>
    <xf numFmtId="0" fontId="0" fillId="0" borderId="11" xfId="2" applyNumberFormat="1" applyFont="1" applyFill="1" applyBorder="1" applyAlignment="1">
      <alignment horizontal="center" vertical="center"/>
    </xf>
    <xf numFmtId="0" fontId="0" fillId="0" borderId="14" xfId="2" applyNumberFormat="1" applyFont="1" applyFill="1" applyBorder="1" applyAlignment="1">
      <alignment horizontal="left" vertical="center"/>
    </xf>
    <xf numFmtId="0" fontId="11" fillId="0" borderId="12" xfId="2" applyNumberFormat="1" applyFont="1" applyBorder="1" applyAlignment="1">
      <alignment horizontal="left" vertical="center"/>
    </xf>
    <xf numFmtId="4" fontId="12" fillId="2" borderId="39" xfId="2" applyNumberFormat="1" applyFont="1" applyFill="1" applyBorder="1" applyAlignment="1">
      <alignment horizontal="right" vertical="center"/>
    </xf>
    <xf numFmtId="0" fontId="14" fillId="0" borderId="0" xfId="0" applyFont="1"/>
    <xf numFmtId="0" fontId="0" fillId="0" borderId="0" xfId="0" applyFont="1"/>
    <xf numFmtId="0" fontId="0" fillId="0" borderId="0" xfId="0" applyBorder="1"/>
    <xf numFmtId="0" fontId="0" fillId="0" borderId="0" xfId="0" applyBorder="1" applyAlignment="1">
      <alignment horizontal="left"/>
    </xf>
    <xf numFmtId="4" fontId="0" fillId="0" borderId="0" xfId="0" applyNumberFormat="1" applyFont="1" applyAlignment="1">
      <alignment horizontal="right"/>
    </xf>
    <xf numFmtId="0" fontId="0" fillId="0" borderId="0" xfId="0" applyFont="1" applyAlignment="1">
      <alignment horizontal="center"/>
    </xf>
    <xf numFmtId="0" fontId="0" fillId="6" borderId="11" xfId="2" applyNumberFormat="1" applyFont="1" applyFill="1" applyBorder="1" applyAlignment="1">
      <alignment horizontal="center" vertical="center"/>
    </xf>
    <xf numFmtId="0" fontId="0" fillId="0" borderId="11" xfId="2" applyNumberFormat="1" applyFont="1" applyBorder="1" applyAlignment="1">
      <alignment horizontal="center" vertical="center"/>
    </xf>
    <xf numFmtId="0" fontId="0" fillId="0" borderId="44" xfId="0" applyBorder="1"/>
    <xf numFmtId="0" fontId="11" fillId="0" borderId="13" xfId="2" applyBorder="1" applyAlignment="1">
      <alignment horizontal="center"/>
    </xf>
    <xf numFmtId="0" fontId="11" fillId="0" borderId="13" xfId="2" applyBorder="1"/>
    <xf numFmtId="0" fontId="11" fillId="0" borderId="12" xfId="2" applyBorder="1"/>
    <xf numFmtId="0" fontId="11" fillId="0" borderId="0" xfId="2" applyBorder="1"/>
    <xf numFmtId="0" fontId="11" fillId="0" borderId="43" xfId="2" applyBorder="1"/>
    <xf numFmtId="0" fontId="11" fillId="0" borderId="26" xfId="2" applyBorder="1"/>
    <xf numFmtId="0" fontId="11" fillId="0" borderId="25" xfId="2" applyBorder="1"/>
    <xf numFmtId="0" fontId="12" fillId="0" borderId="14" xfId="2" applyFont="1" applyBorder="1" applyAlignment="1">
      <alignment horizontal="left"/>
    </xf>
    <xf numFmtId="0" fontId="41" fillId="0" borderId="0" xfId="0" applyFont="1" applyBorder="1" applyAlignment="1"/>
    <xf numFmtId="0" fontId="0" fillId="0" borderId="26" xfId="0" applyBorder="1"/>
    <xf numFmtId="0" fontId="0" fillId="0" borderId="26" xfId="0" applyBorder="1" applyAlignment="1">
      <alignment horizontal="left"/>
    </xf>
    <xf numFmtId="0" fontId="0" fillId="4" borderId="22" xfId="2" applyNumberFormat="1" applyFont="1" applyFill="1" applyBorder="1" applyAlignment="1">
      <alignment horizontal="left" vertical="center"/>
    </xf>
    <xf numFmtId="4" fontId="11" fillId="0" borderId="65" xfId="1" applyNumberFormat="1" applyFont="1" applyFill="1" applyBorder="1" applyAlignment="1" applyProtection="1">
      <alignment horizontal="center" vertical="center"/>
    </xf>
    <xf numFmtId="0" fontId="11" fillId="0" borderId="14" xfId="2" applyNumberFormat="1" applyFont="1" applyBorder="1" applyAlignment="1">
      <alignment horizontal="center" vertical="center"/>
    </xf>
    <xf numFmtId="0" fontId="11" fillId="6" borderId="22" xfId="2" applyNumberFormat="1" applyFont="1" applyFill="1" applyBorder="1" applyAlignment="1">
      <alignment horizontal="center" vertical="center"/>
    </xf>
    <xf numFmtId="0" fontId="0" fillId="0" borderId="14" xfId="0" applyFont="1" applyBorder="1"/>
    <xf numFmtId="0" fontId="0" fillId="0" borderId="68" xfId="0" applyBorder="1"/>
    <xf numFmtId="0" fontId="12" fillId="0" borderId="69" xfId="2" applyNumberFormat="1" applyFont="1" applyBorder="1" applyAlignment="1">
      <alignment horizontal="left" vertical="center"/>
    </xf>
    <xf numFmtId="4" fontId="57" fillId="0" borderId="0" xfId="2" applyNumberFormat="1" applyFont="1"/>
    <xf numFmtId="0" fontId="57" fillId="0" borderId="0" xfId="2" applyFont="1"/>
    <xf numFmtId="0" fontId="57" fillId="0" borderId="0" xfId="2" applyFont="1" applyAlignment="1">
      <alignment vertical="center"/>
    </xf>
    <xf numFmtId="0" fontId="57" fillId="0" borderId="0" xfId="2" applyFont="1" applyFill="1"/>
    <xf numFmtId="0" fontId="0" fillId="0" borderId="70" xfId="2" applyNumberFormat="1" applyFont="1" applyFill="1" applyBorder="1" applyAlignment="1">
      <alignment horizontal="left" vertical="center"/>
    </xf>
    <xf numFmtId="2" fontId="0" fillId="0" borderId="0" xfId="0" applyNumberFormat="1"/>
    <xf numFmtId="0" fontId="0" fillId="0" borderId="76" xfId="2" applyNumberFormat="1" applyFont="1" applyFill="1" applyBorder="1" applyAlignment="1">
      <alignment horizontal="left" vertical="center"/>
    </xf>
    <xf numFmtId="0" fontId="12" fillId="0" borderId="71" xfId="2" applyNumberFormat="1" applyFont="1" applyBorder="1" applyAlignment="1">
      <alignment vertical="center"/>
    </xf>
    <xf numFmtId="0" fontId="12" fillId="0" borderId="71" xfId="2" applyNumberFormat="1" applyFont="1" applyBorder="1" applyAlignment="1">
      <alignment horizontal="right" vertical="center"/>
    </xf>
    <xf numFmtId="0" fontId="0" fillId="0" borderId="33" xfId="2" applyNumberFormat="1" applyFont="1" applyBorder="1" applyAlignment="1">
      <alignment horizontal="left" vertical="center" wrapText="1"/>
    </xf>
    <xf numFmtId="0" fontId="0" fillId="0" borderId="0" xfId="2" applyNumberFormat="1" applyFont="1" applyBorder="1" applyAlignment="1">
      <alignment horizontal="left" vertical="center" wrapText="1"/>
    </xf>
    <xf numFmtId="0" fontId="0" fillId="0" borderId="0" xfId="2" applyNumberFormat="1" applyFont="1" applyBorder="1" applyAlignment="1">
      <alignment horizontal="center" vertical="center" wrapText="1"/>
    </xf>
    <xf numFmtId="176" fontId="0" fillId="0" borderId="0" xfId="0" applyNumberFormat="1"/>
    <xf numFmtId="0" fontId="0" fillId="0" borderId="77" xfId="2" applyNumberFormat="1" applyFont="1" applyFill="1" applyBorder="1" applyAlignment="1">
      <alignment horizontal="left" vertical="center"/>
    </xf>
    <xf numFmtId="0" fontId="0" fillId="0" borderId="0" xfId="0" applyAlignment="1">
      <alignment horizontal="right"/>
    </xf>
    <xf numFmtId="0" fontId="11" fillId="0" borderId="44" xfId="73" applyFont="1" applyBorder="1" applyAlignment="1">
      <alignment horizontal="center" vertical="center"/>
    </xf>
    <xf numFmtId="0" fontId="11" fillId="0" borderId="86" xfId="73" applyFont="1" applyBorder="1" applyAlignment="1">
      <alignment vertical="center"/>
    </xf>
    <xf numFmtId="0" fontId="11" fillId="0" borderId="34" xfId="73" applyFont="1" applyBorder="1" applyAlignment="1">
      <alignment horizontal="center" vertical="center"/>
    </xf>
    <xf numFmtId="0" fontId="11" fillId="0" borderId="38" xfId="73" applyFont="1" applyBorder="1" applyAlignment="1">
      <alignment horizontal="center" vertical="center"/>
    </xf>
    <xf numFmtId="0" fontId="11" fillId="0" borderId="92" xfId="73" applyFont="1" applyBorder="1" applyAlignment="1">
      <alignment vertical="center"/>
    </xf>
    <xf numFmtId="0" fontId="11" fillId="0" borderId="66" xfId="73" applyFont="1" applyFill="1" applyBorder="1" applyAlignment="1">
      <alignment vertical="center"/>
    </xf>
    <xf numFmtId="9" fontId="20" fillId="4" borderId="89" xfId="73" applyNumberFormat="1" applyFont="1" applyFill="1" applyBorder="1" applyAlignment="1">
      <alignment horizontal="center" vertical="center"/>
    </xf>
    <xf numFmtId="0" fontId="11" fillId="0" borderId="90" xfId="73" applyFont="1" applyBorder="1" applyAlignment="1">
      <alignment vertical="center"/>
    </xf>
    <xf numFmtId="9" fontId="20" fillId="0" borderId="89" xfId="73" applyNumberFormat="1" applyFont="1" applyFill="1" applyBorder="1" applyAlignment="1">
      <alignment horizontal="center" vertical="center"/>
    </xf>
    <xf numFmtId="0" fontId="11" fillId="4" borderId="37" xfId="2" applyNumberFormat="1" applyFont="1" applyFill="1" applyBorder="1" applyAlignment="1">
      <alignment horizontal="left" vertical="center"/>
    </xf>
    <xf numFmtId="0" fontId="0" fillId="0" borderId="13" xfId="2" applyNumberFormat="1" applyFont="1" applyFill="1" applyBorder="1" applyAlignment="1">
      <alignment horizontal="left" vertical="center"/>
    </xf>
    <xf numFmtId="0" fontId="12" fillId="23" borderId="16" xfId="2" applyNumberFormat="1" applyFont="1" applyFill="1" applyBorder="1" applyAlignment="1">
      <alignment horizontal="left" vertical="center"/>
    </xf>
    <xf numFmtId="0" fontId="11" fillId="23" borderId="16" xfId="3" applyNumberFormat="1" applyFont="1" applyFill="1" applyBorder="1" applyAlignment="1" applyProtection="1">
      <alignment horizontal="left" vertical="center"/>
    </xf>
    <xf numFmtId="4" fontId="12" fillId="25" borderId="50" xfId="1" applyNumberFormat="1" applyFont="1" applyFill="1" applyBorder="1" applyAlignment="1" applyProtection="1">
      <alignment horizontal="right" vertical="center"/>
    </xf>
    <xf numFmtId="0" fontId="12" fillId="23" borderId="17" xfId="2" applyNumberFormat="1" applyFont="1" applyFill="1" applyBorder="1" applyAlignment="1">
      <alignment horizontal="center" vertical="center"/>
    </xf>
    <xf numFmtId="0" fontId="12" fillId="26" borderId="17" xfId="2" applyNumberFormat="1" applyFont="1" applyFill="1" applyBorder="1" applyAlignment="1">
      <alignment horizontal="center" vertical="center"/>
    </xf>
    <xf numFmtId="0" fontId="12" fillId="26" borderId="16" xfId="2" applyNumberFormat="1" applyFont="1" applyFill="1" applyBorder="1" applyAlignment="1">
      <alignment horizontal="left" vertical="center"/>
    </xf>
    <xf numFmtId="0" fontId="11" fillId="26" borderId="16" xfId="3" applyNumberFormat="1" applyFont="1" applyFill="1" applyBorder="1" applyAlignment="1" applyProtection="1">
      <alignment horizontal="left" vertical="center"/>
    </xf>
    <xf numFmtId="0" fontId="12" fillId="26" borderId="14" xfId="2" applyNumberFormat="1" applyFont="1" applyFill="1" applyBorder="1" applyAlignment="1">
      <alignment horizontal="center" vertical="center"/>
    </xf>
    <xf numFmtId="0" fontId="12" fillId="26" borderId="13" xfId="2" applyNumberFormat="1" applyFont="1" applyFill="1" applyBorder="1" applyAlignment="1">
      <alignment horizontal="left" vertical="center"/>
    </xf>
    <xf numFmtId="0" fontId="11" fillId="26" borderId="13" xfId="3" applyNumberFormat="1" applyFont="1" applyFill="1" applyBorder="1" applyAlignment="1" applyProtection="1">
      <alignment horizontal="left" vertical="center"/>
    </xf>
    <xf numFmtId="4" fontId="11" fillId="0" borderId="0" xfId="2" applyNumberFormat="1" applyFont="1"/>
    <xf numFmtId="0" fontId="11" fillId="0" borderId="0" xfId="2" applyFont="1" applyAlignment="1">
      <alignment vertical="center"/>
    </xf>
    <xf numFmtId="0" fontId="12" fillId="25" borderId="71" xfId="2" applyNumberFormat="1" applyFont="1" applyFill="1" applyBorder="1" applyAlignment="1">
      <alignment horizontal="left" vertical="center"/>
    </xf>
    <xf numFmtId="0" fontId="12" fillId="25" borderId="71" xfId="2" applyNumberFormat="1" applyFont="1" applyFill="1" applyBorder="1" applyAlignment="1">
      <alignment horizontal="center" vertical="center"/>
    </xf>
    <xf numFmtId="0" fontId="0" fillId="25" borderId="71" xfId="2" applyNumberFormat="1" applyFont="1" applyFill="1" applyBorder="1" applyAlignment="1">
      <alignment horizontal="right" vertical="center"/>
    </xf>
    <xf numFmtId="0" fontId="11" fillId="0" borderId="37" xfId="2" applyNumberFormat="1" applyFont="1" applyFill="1" applyBorder="1" applyAlignment="1">
      <alignment horizontal="center" vertical="center"/>
    </xf>
    <xf numFmtId="4" fontId="0" fillId="4" borderId="22" xfId="2" applyNumberFormat="1" applyFont="1" applyFill="1" applyBorder="1" applyAlignment="1">
      <alignment horizontal="center" vertical="center"/>
    </xf>
    <xf numFmtId="4" fontId="0" fillId="0" borderId="0" xfId="2" applyNumberFormat="1" applyFont="1" applyBorder="1" applyAlignment="1">
      <alignment horizontal="center" vertical="center"/>
    </xf>
    <xf numFmtId="4" fontId="0" fillId="0" borderId="14" xfId="2" applyNumberFormat="1" applyFont="1" applyBorder="1" applyAlignment="1">
      <alignment horizontal="center" vertical="center"/>
    </xf>
    <xf numFmtId="4" fontId="0" fillId="0" borderId="22" xfId="2" applyNumberFormat="1" applyFont="1" applyBorder="1" applyAlignment="1">
      <alignment horizontal="center" vertical="center"/>
    </xf>
    <xf numFmtId="4" fontId="0" fillId="0" borderId="69" xfId="2" applyNumberFormat="1" applyFont="1" applyBorder="1" applyAlignment="1">
      <alignment horizontal="center" vertical="center"/>
    </xf>
    <xf numFmtId="0" fontId="5" fillId="0" borderId="0" xfId="124" applyFont="1"/>
    <xf numFmtId="44" fontId="59" fillId="0" borderId="43" xfId="124" applyNumberFormat="1" applyFont="1" applyBorder="1" applyAlignment="1">
      <alignment vertical="center"/>
    </xf>
    <xf numFmtId="9" fontId="5" fillId="0" borderId="0" xfId="124" applyNumberFormat="1" applyFont="1"/>
    <xf numFmtId="44" fontId="59" fillId="0" borderId="91" xfId="124" applyNumberFormat="1" applyFont="1" applyBorder="1" applyAlignment="1">
      <alignment vertical="center"/>
    </xf>
    <xf numFmtId="4" fontId="5" fillId="0" borderId="0" xfId="124" applyNumberFormat="1" applyFont="1"/>
    <xf numFmtId="44" fontId="59" fillId="0" borderId="96" xfId="124" applyNumberFormat="1" applyFont="1" applyBorder="1" applyAlignment="1">
      <alignment vertical="center"/>
    </xf>
    <xf numFmtId="0" fontId="11" fillId="4" borderId="109" xfId="2" applyNumberFormat="1" applyFont="1" applyFill="1" applyBorder="1" applyAlignment="1">
      <alignment horizontal="left" vertical="center"/>
    </xf>
    <xf numFmtId="0" fontId="0" fillId="0" borderId="114" xfId="0" applyBorder="1"/>
    <xf numFmtId="2" fontId="12" fillId="5" borderId="16" xfId="2" applyNumberFormat="1" applyFont="1" applyFill="1" applyBorder="1" applyAlignment="1">
      <alignment horizontal="center" vertical="center"/>
    </xf>
    <xf numFmtId="2" fontId="11" fillId="4" borderId="37" xfId="2" applyNumberFormat="1" applyFont="1" applyFill="1" applyBorder="1" applyAlignment="1">
      <alignment horizontal="center" vertical="center"/>
    </xf>
    <xf numFmtId="2" fontId="11" fillId="4" borderId="109" xfId="2" applyNumberFormat="1" applyFont="1" applyFill="1" applyBorder="1" applyAlignment="1">
      <alignment horizontal="center" vertical="center"/>
    </xf>
    <xf numFmtId="2" fontId="11" fillId="6" borderId="21" xfId="2" applyNumberFormat="1" applyFont="1" applyFill="1" applyBorder="1" applyAlignment="1">
      <alignment horizontal="center" vertical="center"/>
    </xf>
    <xf numFmtId="2" fontId="12" fillId="2" borderId="16" xfId="2" applyNumberFormat="1" applyFont="1" applyFill="1" applyBorder="1" applyAlignment="1">
      <alignment horizontal="center" vertical="center"/>
    </xf>
    <xf numFmtId="2" fontId="12" fillId="0" borderId="69" xfId="2" applyNumberFormat="1" applyFont="1" applyBorder="1" applyAlignment="1">
      <alignment horizontal="center" vertical="center"/>
    </xf>
    <xf numFmtId="2" fontId="12" fillId="2" borderId="6" xfId="2" applyNumberFormat="1" applyFont="1" applyFill="1" applyBorder="1" applyAlignment="1">
      <alignment horizontal="center" vertical="center"/>
    </xf>
    <xf numFmtId="2" fontId="11" fillId="0" borderId="13" xfId="2" applyNumberFormat="1" applyBorder="1" applyAlignment="1">
      <alignment horizontal="center"/>
    </xf>
    <xf numFmtId="2" fontId="41" fillId="0" borderId="0" xfId="0" applyNumberFormat="1" applyFont="1" applyBorder="1" applyAlignment="1"/>
    <xf numFmtId="2" fontId="0" fillId="0" borderId="0" xfId="0" applyNumberFormat="1" applyBorder="1"/>
    <xf numFmtId="2" fontId="0" fillId="0" borderId="26" xfId="0" applyNumberFormat="1" applyBorder="1"/>
    <xf numFmtId="2" fontId="11" fillId="0" borderId="0" xfId="2" applyNumberFormat="1"/>
    <xf numFmtId="2" fontId="11" fillId="0" borderId="0" xfId="2" applyNumberFormat="1" applyAlignment="1">
      <alignment horizontal="center"/>
    </xf>
    <xf numFmtId="4" fontId="11" fillId="0" borderId="22" xfId="1" applyNumberFormat="1" applyFont="1" applyBorder="1" applyAlignment="1">
      <alignment horizontal="center" vertical="center"/>
    </xf>
    <xf numFmtId="0" fontId="12" fillId="0" borderId="21" xfId="2" applyNumberFormat="1" applyFont="1" applyBorder="1" applyAlignment="1">
      <alignment horizontal="left" vertical="center"/>
    </xf>
    <xf numFmtId="0" fontId="14" fillId="4" borderId="109" xfId="2" applyNumberFormat="1" applyFont="1" applyFill="1" applyBorder="1" applyAlignment="1">
      <alignment horizontal="left" vertical="center"/>
    </xf>
    <xf numFmtId="2" fontId="14" fillId="4" borderId="109" xfId="1" applyNumberFormat="1" applyFont="1" applyFill="1" applyBorder="1" applyAlignment="1">
      <alignment horizontal="center" vertical="center"/>
    </xf>
    <xf numFmtId="4" fontId="11" fillId="0" borderId="65" xfId="1" applyNumberFormat="1" applyFont="1" applyFill="1" applyBorder="1" applyAlignment="1" applyProtection="1">
      <alignment horizontal="right" vertical="center"/>
    </xf>
    <xf numFmtId="0" fontId="0" fillId="6" borderId="53" xfId="2" applyNumberFormat="1" applyFont="1" applyFill="1" applyBorder="1" applyAlignment="1">
      <alignment horizontal="center" vertical="center"/>
    </xf>
    <xf numFmtId="0" fontId="0" fillId="0" borderId="53" xfId="2" applyNumberFormat="1" applyFont="1" applyBorder="1" applyAlignment="1">
      <alignment horizontal="center" vertical="center"/>
    </xf>
    <xf numFmtId="0" fontId="42" fillId="27" borderId="0" xfId="0" applyFont="1" applyFill="1" applyBorder="1" applyAlignment="1">
      <alignment horizontal="center"/>
    </xf>
    <xf numFmtId="0" fontId="12" fillId="0" borderId="115" xfId="2" applyNumberFormat="1" applyFont="1" applyBorder="1" applyAlignment="1">
      <alignment horizontal="left" vertical="center"/>
    </xf>
    <xf numFmtId="0" fontId="12" fillId="0" borderId="115" xfId="2" applyNumberFormat="1" applyFont="1" applyBorder="1" applyAlignment="1">
      <alignment horizontal="center" vertical="center"/>
    </xf>
    <xf numFmtId="4" fontId="11" fillId="0" borderId="115" xfId="2" applyNumberFormat="1" applyFont="1" applyBorder="1" applyAlignment="1">
      <alignment horizontal="center" vertical="center"/>
    </xf>
    <xf numFmtId="0" fontId="0" fillId="0" borderId="115" xfId="0" applyBorder="1"/>
    <xf numFmtId="0" fontId="0" fillId="0" borderId="0" xfId="0" applyFont="1" applyBorder="1" applyAlignment="1">
      <alignment horizontal="left"/>
    </xf>
    <xf numFmtId="0" fontId="14" fillId="0" borderId="0" xfId="0" applyFont="1" applyAlignment="1">
      <alignment horizontal="center"/>
    </xf>
    <xf numFmtId="0" fontId="11" fillId="4" borderId="116" xfId="2" applyNumberFormat="1" applyFont="1" applyFill="1" applyBorder="1" applyAlignment="1">
      <alignment horizontal="left" vertical="center"/>
    </xf>
    <xf numFmtId="2" fontId="11" fillId="4" borderId="116" xfId="2" applyNumberFormat="1" applyFont="1" applyFill="1" applyBorder="1" applyAlignment="1">
      <alignment horizontal="center" vertical="center"/>
    </xf>
    <xf numFmtId="0" fontId="12" fillId="4" borderId="0" xfId="2" applyFont="1" applyFill="1" applyBorder="1" applyAlignment="1">
      <alignment horizontal="center" vertical="center"/>
    </xf>
    <xf numFmtId="0" fontId="11" fillId="0" borderId="0" xfId="0" applyFont="1"/>
    <xf numFmtId="0" fontId="12" fillId="0" borderId="0" xfId="0" applyFont="1" applyAlignment="1">
      <alignment vertical="justify"/>
    </xf>
    <xf numFmtId="0" fontId="11" fillId="0" borderId="100" xfId="88" applyFont="1" applyBorder="1" applyAlignment="1">
      <alignment horizontal="left" wrapText="1"/>
    </xf>
    <xf numFmtId="0" fontId="11" fillId="0" borderId="100" xfId="88" applyFont="1" applyBorder="1" applyAlignment="1">
      <alignment horizontal="center"/>
    </xf>
    <xf numFmtId="0" fontId="11" fillId="0" borderId="0" xfId="88" applyFont="1" applyAlignment="1">
      <alignment horizontal="left" indent="1"/>
    </xf>
    <xf numFmtId="0" fontId="11" fillId="0" borderId="0" xfId="88" applyFont="1" applyAlignment="1">
      <alignment horizontal="left" wrapText="1"/>
    </xf>
    <xf numFmtId="0" fontId="11" fillId="0" borderId="0" xfId="88" applyFont="1" applyAlignment="1">
      <alignment horizontal="center"/>
    </xf>
    <xf numFmtId="0" fontId="11" fillId="0" borderId="0" xfId="88" applyFont="1"/>
    <xf numFmtId="4" fontId="0" fillId="4" borderId="112" xfId="2" applyNumberFormat="1" applyFont="1" applyFill="1" applyBorder="1" applyAlignment="1">
      <alignment horizontal="center" vertical="center"/>
    </xf>
    <xf numFmtId="0" fontId="19" fillId="0" borderId="0" xfId="0" applyFont="1" applyAlignment="1">
      <alignment horizontal="right"/>
    </xf>
    <xf numFmtId="4" fontId="0" fillId="0" borderId="0" xfId="0" applyNumberFormat="1" applyFont="1"/>
    <xf numFmtId="0" fontId="49" fillId="4" borderId="22" xfId="0" applyFont="1" applyFill="1" applyBorder="1" applyAlignment="1">
      <alignment horizontal="right"/>
    </xf>
    <xf numFmtId="0" fontId="11" fillId="0" borderId="34" xfId="88" applyFont="1" applyBorder="1" applyAlignment="1">
      <alignment horizontal="left" indent="1"/>
    </xf>
    <xf numFmtId="0" fontId="67" fillId="28" borderId="121" xfId="73" applyFont="1" applyFill="1" applyBorder="1" applyAlignment="1">
      <alignment horizontal="center" vertical="center" wrapText="1"/>
    </xf>
    <xf numFmtId="0" fontId="11" fillId="28" borderId="117" xfId="73" applyFont="1" applyFill="1" applyBorder="1" applyAlignment="1">
      <alignment horizontal="left" wrapText="1"/>
    </xf>
    <xf numFmtId="10" fontId="11" fillId="28" borderId="117" xfId="73" applyNumberFormat="1" applyFont="1" applyFill="1" applyBorder="1" applyAlignment="1">
      <alignment horizontal="center"/>
    </xf>
    <xf numFmtId="4" fontId="11" fillId="28" borderId="117" xfId="73" applyNumberFormat="1" applyFont="1" applyFill="1" applyBorder="1" applyAlignment="1">
      <alignment horizontal="center" vertical="center"/>
    </xf>
    <xf numFmtId="4" fontId="11" fillId="28" borderId="122" xfId="73" applyNumberFormat="1" applyFont="1" applyFill="1" applyBorder="1" applyAlignment="1">
      <alignment horizontal="center" vertical="center"/>
    </xf>
    <xf numFmtId="0" fontId="67" fillId="0" borderId="22" xfId="73" applyFont="1" applyBorder="1" applyAlignment="1">
      <alignment horizontal="center" vertical="center" wrapText="1"/>
    </xf>
    <xf numFmtId="0" fontId="67" fillId="0" borderId="118" xfId="73" applyFont="1" applyBorder="1" applyAlignment="1">
      <alignment horizontal="left" wrapText="1"/>
    </xf>
    <xf numFmtId="4" fontId="67" fillId="0" borderId="118" xfId="73" applyNumberFormat="1" applyFont="1" applyBorder="1" applyAlignment="1">
      <alignment horizontal="center"/>
    </xf>
    <xf numFmtId="4" fontId="11" fillId="0" borderId="118" xfId="73" applyNumberFormat="1" applyFont="1" applyBorder="1" applyAlignment="1">
      <alignment horizontal="center" vertical="center"/>
    </xf>
    <xf numFmtId="4" fontId="11" fillId="0" borderId="20" xfId="73" applyNumberFormat="1" applyFont="1" applyBorder="1" applyAlignment="1">
      <alignment horizontal="center" vertical="center"/>
    </xf>
    <xf numFmtId="0" fontId="11" fillId="0" borderId="22" xfId="73" applyFont="1" applyBorder="1" applyAlignment="1">
      <alignment horizontal="center" vertical="center" wrapText="1"/>
    </xf>
    <xf numFmtId="0" fontId="11" fillId="0" borderId="118" xfId="73" applyFont="1" applyBorder="1" applyAlignment="1">
      <alignment horizontal="left" wrapText="1"/>
    </xf>
    <xf numFmtId="4" fontId="11" fillId="0" borderId="118" xfId="73" applyNumberFormat="1" applyFont="1" applyBorder="1" applyAlignment="1">
      <alignment horizontal="center"/>
    </xf>
    <xf numFmtId="0" fontId="11" fillId="28" borderId="121" xfId="73" applyFont="1" applyFill="1" applyBorder="1" applyAlignment="1">
      <alignment horizontal="center" vertical="center" wrapText="1"/>
    </xf>
    <xf numFmtId="10" fontId="11" fillId="28" borderId="117" xfId="127" applyNumberFormat="1" applyFont="1" applyFill="1" applyBorder="1" applyAlignment="1">
      <alignment horizontal="center"/>
    </xf>
    <xf numFmtId="9" fontId="67" fillId="0" borderId="118" xfId="127" applyFont="1" applyBorder="1" applyAlignment="1">
      <alignment horizontal="center"/>
    </xf>
    <xf numFmtId="0" fontId="11" fillId="28" borderId="117" xfId="73" applyFont="1" applyFill="1" applyBorder="1" applyAlignment="1">
      <alignment horizontal="left" vertical="center" wrapText="1"/>
    </xf>
    <xf numFmtId="177" fontId="11" fillId="28" borderId="117" xfId="127" applyNumberFormat="1" applyFont="1" applyFill="1" applyBorder="1" applyAlignment="1">
      <alignment horizontal="center"/>
    </xf>
    <xf numFmtId="177" fontId="67" fillId="0" borderId="118" xfId="127" applyNumberFormat="1" applyFont="1" applyBorder="1" applyAlignment="1">
      <alignment horizontal="center"/>
    </xf>
    <xf numFmtId="0" fontId="11" fillId="28" borderId="121" xfId="73" applyFont="1" applyFill="1" applyBorder="1" applyAlignment="1">
      <alignment horizontal="left" wrapText="1"/>
    </xf>
    <xf numFmtId="0" fontId="11" fillId="0" borderId="22" xfId="73" applyFont="1" applyBorder="1" applyAlignment="1">
      <alignment horizontal="left" wrapText="1"/>
    </xf>
    <xf numFmtId="0" fontId="11" fillId="0" borderId="118" xfId="73" applyFont="1" applyBorder="1" applyAlignment="1">
      <alignment horizontal="center"/>
    </xf>
    <xf numFmtId="4" fontId="67" fillId="0" borderId="118" xfId="73" applyNumberFormat="1" applyFont="1" applyBorder="1" applyAlignment="1">
      <alignment horizontal="right"/>
    </xf>
    <xf numFmtId="4" fontId="67" fillId="0" borderId="20" xfId="73" applyNumberFormat="1" applyFont="1" applyBorder="1" applyAlignment="1">
      <alignment horizontal="right"/>
    </xf>
    <xf numFmtId="0" fontId="11" fillId="0" borderId="44" xfId="73" applyFont="1" applyBorder="1" applyAlignment="1">
      <alignment horizontal="left" wrapText="1"/>
    </xf>
    <xf numFmtId="0" fontId="11" fillId="0" borderId="0" xfId="73" applyFont="1" applyBorder="1" applyAlignment="1">
      <alignment horizontal="left" wrapText="1"/>
    </xf>
    <xf numFmtId="0" fontId="11" fillId="0" borderId="0" xfId="73" applyFont="1" applyBorder="1" applyAlignment="1">
      <alignment horizontal="center"/>
    </xf>
    <xf numFmtId="4" fontId="11" fillId="0" borderId="0" xfId="73" applyNumberFormat="1" applyFont="1" applyBorder="1" applyAlignment="1">
      <alignment horizontal="right"/>
    </xf>
    <xf numFmtId="4" fontId="11" fillId="0" borderId="43" xfId="73" applyNumberFormat="1" applyFont="1" applyBorder="1" applyAlignment="1">
      <alignment horizontal="right"/>
    </xf>
    <xf numFmtId="0" fontId="11" fillId="0" borderId="38" xfId="73" applyFont="1" applyBorder="1" applyAlignment="1">
      <alignment horizontal="left"/>
    </xf>
    <xf numFmtId="0" fontId="68" fillId="0" borderId="36" xfId="73" applyFont="1" applyBorder="1" applyAlignment="1"/>
    <xf numFmtId="0" fontId="11" fillId="0" borderId="44" xfId="73" applyFont="1" applyBorder="1" applyAlignment="1">
      <alignment horizontal="left"/>
    </xf>
    <xf numFmtId="0" fontId="12" fillId="0" borderId="0" xfId="73" applyFont="1" applyBorder="1" applyAlignment="1">
      <alignment horizontal="right"/>
    </xf>
    <xf numFmtId="0" fontId="68" fillId="0" borderId="43" xfId="73" applyFont="1" applyBorder="1" applyAlignment="1"/>
    <xf numFmtId="10" fontId="68" fillId="0" borderId="103" xfId="73" applyNumberFormat="1" applyFont="1" applyBorder="1" applyAlignment="1">
      <alignment horizontal="center" vertical="center"/>
    </xf>
    <xf numFmtId="0" fontId="42" fillId="27" borderId="43" xfId="0" applyFont="1" applyFill="1" applyBorder="1" applyAlignment="1">
      <alignment horizontal="center"/>
    </xf>
    <xf numFmtId="0" fontId="19" fillId="4" borderId="0" xfId="0" applyFont="1" applyFill="1" applyBorder="1" applyAlignment="1">
      <alignment horizontal="right"/>
    </xf>
    <xf numFmtId="4" fontId="0" fillId="4" borderId="0" xfId="0" applyNumberFormat="1" applyFont="1" applyFill="1" applyBorder="1" applyAlignment="1">
      <alignment horizontal="right"/>
    </xf>
    <xf numFmtId="0" fontId="0" fillId="4" borderId="43" xfId="0" applyFont="1" applyFill="1" applyBorder="1" applyAlignment="1">
      <alignment horizontal="center"/>
    </xf>
    <xf numFmtId="0" fontId="14" fillId="4" borderId="22" xfId="0" applyFont="1" applyFill="1" applyBorder="1" applyAlignment="1">
      <alignment horizontal="right"/>
    </xf>
    <xf numFmtId="0" fontId="14" fillId="4" borderId="118" xfId="0" applyFont="1" applyFill="1" applyBorder="1" applyAlignment="1">
      <alignment horizontal="left"/>
    </xf>
    <xf numFmtId="4" fontId="14" fillId="4" borderId="118" xfId="0" applyNumberFormat="1" applyFont="1" applyFill="1" applyBorder="1" applyAlignment="1">
      <alignment horizontal="right"/>
    </xf>
    <xf numFmtId="0" fontId="46" fillId="4" borderId="22" xfId="0" applyFont="1" applyFill="1" applyBorder="1" applyAlignment="1">
      <alignment horizontal="right"/>
    </xf>
    <xf numFmtId="4" fontId="43" fillId="4" borderId="118" xfId="0" applyNumberFormat="1" applyFont="1" applyFill="1" applyBorder="1" applyAlignment="1">
      <alignment horizontal="right"/>
    </xf>
    <xf numFmtId="0" fontId="43" fillId="4" borderId="118" xfId="0" applyFont="1" applyFill="1" applyBorder="1" applyAlignment="1">
      <alignment horizontal="left"/>
    </xf>
    <xf numFmtId="0" fontId="14" fillId="4" borderId="118" xfId="0" applyFont="1" applyFill="1" applyBorder="1" applyAlignment="1">
      <alignment horizontal="right"/>
    </xf>
    <xf numFmtId="4" fontId="62" fillId="4" borderId="118" xfId="0" applyNumberFormat="1" applyFont="1" applyFill="1" applyBorder="1" applyAlignment="1">
      <alignment horizontal="right"/>
    </xf>
    <xf numFmtId="0" fontId="62" fillId="4" borderId="118" xfId="0" applyFont="1" applyFill="1" applyBorder="1" applyAlignment="1">
      <alignment horizontal="left"/>
    </xf>
    <xf numFmtId="0" fontId="0" fillId="4" borderId="118" xfId="2" applyNumberFormat="1" applyFont="1" applyFill="1" applyBorder="1" applyAlignment="1">
      <alignment horizontal="left" vertical="center"/>
    </xf>
    <xf numFmtId="0" fontId="14" fillId="4" borderId="20" xfId="0" applyFont="1" applyFill="1" applyBorder="1" applyAlignment="1">
      <alignment horizontal="center"/>
    </xf>
    <xf numFmtId="0" fontId="12" fillId="25" borderId="126" xfId="2" applyNumberFormat="1" applyFont="1" applyFill="1" applyBorder="1" applyAlignment="1">
      <alignment horizontal="center" vertical="center"/>
    </xf>
    <xf numFmtId="0" fontId="12" fillId="25" borderId="127" xfId="2" applyNumberFormat="1" applyFont="1" applyFill="1" applyBorder="1" applyAlignment="1">
      <alignment horizontal="right" vertical="center"/>
    </xf>
    <xf numFmtId="2" fontId="0" fillId="0" borderId="131" xfId="2" applyNumberFormat="1" applyFont="1" applyFill="1" applyBorder="1" applyAlignment="1">
      <alignment horizontal="right" vertical="center"/>
    </xf>
    <xf numFmtId="0" fontId="0" fillId="0" borderId="132" xfId="2" applyNumberFormat="1" applyFont="1" applyFill="1" applyBorder="1" applyAlignment="1">
      <alignment horizontal="center" vertical="center"/>
    </xf>
    <xf numFmtId="0" fontId="12" fillId="0" borderId="126" xfId="2" applyNumberFormat="1" applyFont="1" applyBorder="1" applyAlignment="1">
      <alignment vertical="center"/>
    </xf>
    <xf numFmtId="2" fontId="12" fillId="0" borderId="127" xfId="2" applyNumberFormat="1" applyFont="1" applyBorder="1" applyAlignment="1">
      <alignment horizontal="right" vertical="center"/>
    </xf>
    <xf numFmtId="0" fontId="0" fillId="0" borderId="129" xfId="2" applyNumberFormat="1" applyFont="1" applyBorder="1" applyAlignment="1">
      <alignment horizontal="center" vertical="center"/>
    </xf>
    <xf numFmtId="0" fontId="12" fillId="4" borderId="44" xfId="2" applyFont="1" applyFill="1" applyBorder="1" applyAlignment="1">
      <alignment horizontal="left" vertical="center"/>
    </xf>
    <xf numFmtId="0" fontId="12" fillId="4" borderId="0" xfId="2" applyFont="1" applyFill="1" applyBorder="1" applyAlignment="1">
      <alignment vertical="center"/>
    </xf>
    <xf numFmtId="0" fontId="0" fillId="25" borderId="71" xfId="2" applyNumberFormat="1" applyFont="1" applyFill="1" applyBorder="1" applyAlignment="1">
      <alignment horizontal="left" vertical="center"/>
    </xf>
    <xf numFmtId="4" fontId="11" fillId="2" borderId="39" xfId="1" applyNumberFormat="1" applyFont="1" applyFill="1" applyBorder="1" applyAlignment="1" applyProtection="1">
      <alignment horizontal="center" vertical="center"/>
    </xf>
    <xf numFmtId="4" fontId="12" fillId="2" borderId="39" xfId="1" applyNumberFormat="1" applyFont="1" applyFill="1" applyBorder="1" applyAlignment="1" applyProtection="1">
      <alignment horizontal="right" vertical="center"/>
    </xf>
    <xf numFmtId="0" fontId="12" fillId="6" borderId="0" xfId="0" applyFont="1" applyFill="1" applyProtection="1"/>
    <xf numFmtId="0" fontId="0" fillId="6" borderId="0" xfId="0" applyFill="1" applyProtection="1"/>
    <xf numFmtId="0" fontId="0" fillId="6" borderId="0" xfId="0" applyFill="1" applyAlignment="1" applyProtection="1">
      <alignment horizontal="center"/>
    </xf>
    <xf numFmtId="0" fontId="69" fillId="6" borderId="0" xfId="0" applyFont="1" applyFill="1" applyProtection="1"/>
    <xf numFmtId="0" fontId="15" fillId="6" borderId="0" xfId="0" applyFont="1" applyFill="1" applyAlignment="1" applyProtection="1">
      <alignment horizontal="center"/>
    </xf>
    <xf numFmtId="0" fontId="69" fillId="6" borderId="0" xfId="0" applyFont="1" applyFill="1" applyBorder="1" applyProtection="1"/>
    <xf numFmtId="0" fontId="69" fillId="6" borderId="0" xfId="0" applyFont="1" applyFill="1" applyBorder="1" applyAlignment="1" applyProtection="1">
      <alignment horizontal="center"/>
    </xf>
    <xf numFmtId="0" fontId="0" fillId="6" borderId="0" xfId="0" applyFill="1" applyBorder="1" applyProtection="1"/>
    <xf numFmtId="0" fontId="11" fillId="6" borderId="0" xfId="0" applyFont="1" applyFill="1" applyAlignment="1" applyProtection="1">
      <alignment horizontal="left"/>
    </xf>
    <xf numFmtId="0" fontId="11" fillId="29" borderId="105" xfId="0" applyFont="1" applyFill="1" applyBorder="1" applyAlignment="1" applyProtection="1">
      <protection locked="0"/>
    </xf>
    <xf numFmtId="0" fontId="11" fillId="29" borderId="104" xfId="0" applyFont="1" applyFill="1" applyBorder="1" applyAlignment="1" applyProtection="1">
      <protection locked="0"/>
    </xf>
    <xf numFmtId="0" fontId="69" fillId="6" borderId="0" xfId="0" applyFont="1" applyFill="1" applyBorder="1" applyAlignment="1" applyProtection="1"/>
    <xf numFmtId="0" fontId="15" fillId="6" borderId="0" xfId="0" applyFont="1" applyFill="1" applyBorder="1" applyProtection="1"/>
    <xf numFmtId="0" fontId="15" fillId="6" borderId="0" xfId="0" applyFont="1" applyFill="1" applyProtection="1"/>
    <xf numFmtId="0" fontId="11" fillId="6" borderId="0" xfId="0" applyFont="1" applyFill="1" applyBorder="1" applyAlignment="1" applyProtection="1"/>
    <xf numFmtId="0" fontId="11" fillId="6" borderId="0" xfId="0" applyFont="1" applyFill="1" applyBorder="1" applyAlignment="1" applyProtection="1">
      <alignment horizontal="left"/>
      <protection locked="0"/>
    </xf>
    <xf numFmtId="0" fontId="11" fillId="6" borderId="0" xfId="0" applyFont="1" applyFill="1" applyBorder="1" applyAlignment="1" applyProtection="1">
      <protection locked="0"/>
    </xf>
    <xf numFmtId="0" fontId="0" fillId="6" borderId="0" xfId="0" applyFill="1" applyAlignment="1" applyProtection="1">
      <alignment horizontal="left"/>
    </xf>
    <xf numFmtId="0" fontId="11" fillId="6" borderId="0" xfId="0" applyFont="1" applyFill="1" applyBorder="1" applyProtection="1"/>
    <xf numFmtId="178" fontId="11" fillId="29" borderId="104" xfId="109" applyNumberFormat="1" applyFill="1" applyBorder="1" applyAlignment="1" applyProtection="1">
      <alignment horizontal="center"/>
      <protection locked="0"/>
    </xf>
    <xf numFmtId="167" fontId="11" fillId="29" borderId="104" xfId="130" applyFont="1" applyFill="1" applyBorder="1" applyAlignment="1" applyProtection="1">
      <alignment horizontal="center"/>
      <protection locked="0"/>
    </xf>
    <xf numFmtId="0" fontId="0" fillId="6" borderId="0" xfId="0" applyFill="1" applyBorder="1" applyAlignment="1" applyProtection="1">
      <alignment horizontal="center"/>
    </xf>
    <xf numFmtId="0" fontId="72" fillId="30" borderId="137" xfId="0" applyFont="1" applyFill="1" applyBorder="1" applyAlignment="1" applyProtection="1">
      <alignment horizontal="center"/>
    </xf>
    <xf numFmtId="0" fontId="72" fillId="30" borderId="138" xfId="0" applyFont="1" applyFill="1" applyBorder="1" applyAlignment="1" applyProtection="1">
      <alignment horizontal="center"/>
    </xf>
    <xf numFmtId="0" fontId="0" fillId="6" borderId="98" xfId="0" applyFill="1" applyBorder="1" applyAlignment="1" applyProtection="1">
      <alignment horizontal="center"/>
    </xf>
    <xf numFmtId="178" fontId="11" fillId="29" borderId="98" xfId="109" applyNumberFormat="1" applyFill="1" applyBorder="1" applyAlignment="1" applyProtection="1">
      <alignment horizontal="center"/>
      <protection locked="0"/>
    </xf>
    <xf numFmtId="178" fontId="0" fillId="6" borderId="98" xfId="0" applyNumberFormat="1" applyFill="1" applyBorder="1" applyAlignment="1" applyProtection="1">
      <alignment horizontal="center"/>
    </xf>
    <xf numFmtId="2" fontId="69" fillId="6" borderId="0" xfId="0" applyNumberFormat="1" applyFont="1" applyFill="1" applyProtection="1"/>
    <xf numFmtId="0" fontId="0" fillId="6" borderId="104" xfId="0" applyFill="1" applyBorder="1" applyAlignment="1" applyProtection="1">
      <alignment horizontal="center"/>
    </xf>
    <xf numFmtId="178" fontId="11" fillId="6" borderId="104" xfId="109" applyNumberFormat="1" applyFill="1" applyBorder="1" applyAlignment="1" applyProtection="1">
      <alignment horizontal="center"/>
    </xf>
    <xf numFmtId="0" fontId="0" fillId="6" borderId="105" xfId="0" applyFill="1" applyBorder="1" applyAlignment="1" applyProtection="1">
      <alignment horizontal="left" indent="1"/>
    </xf>
    <xf numFmtId="0" fontId="11" fillId="6" borderId="6" xfId="0" applyFont="1" applyFill="1" applyBorder="1" applyAlignment="1" applyProtection="1">
      <alignment horizontal="left" indent="1"/>
    </xf>
    <xf numFmtId="0" fontId="0" fillId="6" borderId="6" xfId="0" applyFill="1" applyBorder="1" applyAlignment="1" applyProtection="1">
      <alignment horizontal="left" indent="1"/>
    </xf>
    <xf numFmtId="0" fontId="0" fillId="6" borderId="106" xfId="0" applyFill="1" applyBorder="1" applyProtection="1"/>
    <xf numFmtId="178" fontId="11" fillId="29" borderId="98" xfId="109" applyNumberFormat="1" applyFont="1" applyFill="1" applyBorder="1" applyAlignment="1" applyProtection="1">
      <alignment horizontal="center"/>
      <protection locked="0"/>
    </xf>
    <xf numFmtId="0" fontId="0" fillId="6" borderId="99" xfId="0" applyFill="1" applyBorder="1" applyAlignment="1" applyProtection="1">
      <alignment horizontal="left" indent="1"/>
    </xf>
    <xf numFmtId="0" fontId="11" fillId="6" borderId="140" xfId="0" applyFont="1" applyFill="1" applyBorder="1" applyAlignment="1" applyProtection="1">
      <alignment horizontal="left" indent="1"/>
    </xf>
    <xf numFmtId="0" fontId="0" fillId="6" borderId="140" xfId="0" applyFill="1" applyBorder="1" applyProtection="1"/>
    <xf numFmtId="0" fontId="11" fillId="6" borderId="106" xfId="0" applyFont="1" applyFill="1" applyBorder="1" applyAlignment="1" applyProtection="1">
      <alignment horizontal="left" indent="1"/>
    </xf>
    <xf numFmtId="2" fontId="0" fillId="6" borderId="0" xfId="0" applyNumberFormat="1" applyFill="1" applyAlignment="1" applyProtection="1">
      <alignment horizontal="center"/>
    </xf>
    <xf numFmtId="0" fontId="72" fillId="31" borderId="137" xfId="0" applyFont="1" applyFill="1" applyBorder="1" applyAlignment="1" applyProtection="1">
      <alignment horizontal="center"/>
    </xf>
    <xf numFmtId="0" fontId="72" fillId="31" borderId="138" xfId="0" applyFont="1" applyFill="1" applyBorder="1" applyAlignment="1" applyProtection="1">
      <alignment horizontal="center"/>
    </xf>
    <xf numFmtId="178" fontId="16" fillId="6" borderId="98" xfId="109" applyNumberFormat="1" applyFont="1" applyFill="1" applyBorder="1" applyAlignment="1" applyProtection="1">
      <alignment horizontal="center"/>
    </xf>
    <xf numFmtId="178" fontId="16" fillId="6" borderId="104" xfId="109" applyNumberFormat="1" applyFont="1" applyFill="1" applyBorder="1" applyAlignment="1" applyProtection="1">
      <alignment horizontal="center"/>
    </xf>
    <xf numFmtId="0" fontId="12" fillId="6" borderId="0" xfId="0" applyFont="1" applyFill="1" applyBorder="1" applyAlignment="1" applyProtection="1">
      <alignment horizontal="left" indent="2"/>
    </xf>
    <xf numFmtId="178" fontId="16" fillId="6" borderId="0" xfId="109" applyNumberFormat="1" applyFont="1" applyFill="1" applyBorder="1" applyAlignment="1" applyProtection="1">
      <alignment horizontal="center"/>
    </xf>
    <xf numFmtId="0" fontId="31" fillId="6" borderId="0" xfId="0" applyFont="1" applyFill="1" applyProtection="1"/>
    <xf numFmtId="0" fontId="31" fillId="6" borderId="0" xfId="0" applyFont="1" applyFill="1" applyAlignment="1" applyProtection="1">
      <alignment horizontal="center"/>
    </xf>
    <xf numFmtId="0" fontId="31" fillId="6" borderId="0" xfId="0" applyFont="1" applyFill="1" applyAlignment="1" applyProtection="1">
      <alignment horizontal="justify"/>
    </xf>
    <xf numFmtId="0" fontId="11" fillId="6" borderId="0" xfId="0" applyFont="1" applyFill="1" applyProtection="1"/>
    <xf numFmtId="9" fontId="15" fillId="6" borderId="0" xfId="0" applyNumberFormat="1" applyFont="1" applyFill="1" applyProtection="1"/>
    <xf numFmtId="0" fontId="80" fillId="30" borderId="137" xfId="0" applyFont="1" applyFill="1" applyBorder="1" applyAlignment="1" applyProtection="1">
      <alignment horizontal="center"/>
    </xf>
    <xf numFmtId="0" fontId="80" fillId="30" borderId="138" xfId="0" applyFont="1" applyFill="1" applyBorder="1" applyAlignment="1" applyProtection="1">
      <alignment horizontal="center"/>
    </xf>
    <xf numFmtId="0" fontId="31" fillId="6" borderId="98" xfId="0" applyFont="1" applyFill="1" applyBorder="1" applyAlignment="1" applyProtection="1">
      <alignment horizontal="center"/>
    </xf>
    <xf numFmtId="178" fontId="31" fillId="29" borderId="98" xfId="109" applyNumberFormat="1" applyFont="1" applyFill="1" applyBorder="1" applyAlignment="1" applyProtection="1">
      <alignment horizontal="center"/>
    </xf>
    <xf numFmtId="178" fontId="31" fillId="6" borderId="98" xfId="0" applyNumberFormat="1" applyFont="1" applyFill="1" applyBorder="1" applyAlignment="1" applyProtection="1">
      <alignment horizontal="center"/>
    </xf>
    <xf numFmtId="0" fontId="31" fillId="6" borderId="104" xfId="0" applyFont="1" applyFill="1" applyBorder="1" applyAlignment="1" applyProtection="1">
      <alignment horizontal="center"/>
    </xf>
    <xf numFmtId="0" fontId="31" fillId="6" borderId="105" xfId="0" applyFont="1" applyFill="1" applyBorder="1" applyAlignment="1" applyProtection="1">
      <alignment horizontal="left" indent="1"/>
    </xf>
    <xf numFmtId="0" fontId="31" fillId="6" borderId="106" xfId="0" applyFont="1" applyFill="1" applyBorder="1" applyAlignment="1" applyProtection="1">
      <alignment horizontal="left" indent="1"/>
    </xf>
    <xf numFmtId="178" fontId="31" fillId="6" borderId="98" xfId="109" applyNumberFormat="1" applyFont="1" applyFill="1" applyBorder="1" applyAlignment="1" applyProtection="1">
      <alignment horizontal="center"/>
    </xf>
    <xf numFmtId="2" fontId="31" fillId="6" borderId="0" xfId="0" applyNumberFormat="1" applyFont="1" applyFill="1" applyAlignment="1" applyProtection="1">
      <alignment horizontal="center"/>
    </xf>
    <xf numFmtId="0" fontId="31" fillId="6" borderId="16" xfId="0" applyFont="1" applyFill="1" applyBorder="1" applyProtection="1"/>
    <xf numFmtId="0" fontId="31" fillId="6" borderId="26" xfId="0" applyFont="1" applyFill="1" applyBorder="1" applyAlignment="1" applyProtection="1">
      <alignment horizontal="center" vertical="top"/>
    </xf>
    <xf numFmtId="178" fontId="54" fillId="6" borderId="97" xfId="109" applyNumberFormat="1" applyFont="1" applyFill="1" applyBorder="1" applyAlignment="1" applyProtection="1">
      <alignment horizontal="center"/>
    </xf>
    <xf numFmtId="0" fontId="81" fillId="6" borderId="0" xfId="0" applyFont="1" applyFill="1" applyProtection="1"/>
    <xf numFmtId="0" fontId="31" fillId="6" borderId="0" xfId="0" applyFont="1" applyFill="1" applyBorder="1" applyProtection="1"/>
    <xf numFmtId="0" fontId="31" fillId="6" borderId="0" xfId="0" applyFont="1" applyFill="1" applyBorder="1" applyAlignment="1" applyProtection="1">
      <alignment horizontal="center"/>
    </xf>
    <xf numFmtId="2" fontId="69" fillId="6" borderId="0" xfId="0" applyNumberFormat="1" applyFont="1" applyFill="1" applyBorder="1" applyProtection="1"/>
    <xf numFmtId="4" fontId="11" fillId="0" borderId="150" xfId="1" applyNumberFormat="1" applyFont="1" applyFill="1" applyBorder="1" applyAlignment="1" applyProtection="1">
      <alignment horizontal="center" vertical="center"/>
    </xf>
    <xf numFmtId="0" fontId="0" fillId="0" borderId="149" xfId="2" applyNumberFormat="1" applyFont="1" applyBorder="1" applyAlignment="1">
      <alignment horizontal="center" vertical="center"/>
    </xf>
    <xf numFmtId="2" fontId="11" fillId="0" borderId="0" xfId="2" applyNumberFormat="1" applyFont="1"/>
    <xf numFmtId="0" fontId="0" fillId="0" borderId="0" xfId="2" applyFont="1"/>
    <xf numFmtId="4" fontId="11" fillId="0" borderId="0" xfId="2" applyNumberFormat="1" applyFont="1" applyAlignment="1">
      <alignment vertical="center"/>
    </xf>
    <xf numFmtId="0" fontId="0" fillId="4" borderId="10" xfId="0" applyNumberFormat="1" applyFill="1" applyBorder="1" applyAlignment="1">
      <alignment horizontal="center" vertical="center"/>
    </xf>
    <xf numFmtId="4" fontId="11" fillId="4" borderId="10" xfId="0" applyNumberFormat="1" applyFont="1" applyFill="1" applyBorder="1" applyAlignment="1">
      <alignment horizontal="center"/>
    </xf>
    <xf numFmtId="4" fontId="11" fillId="0" borderId="10" xfId="0" applyNumberFormat="1" applyFont="1" applyBorder="1" applyAlignment="1">
      <alignment horizontal="center"/>
    </xf>
    <xf numFmtId="0" fontId="11" fillId="0" borderId="22" xfId="2" applyNumberFormat="1" applyFont="1" applyFill="1" applyBorder="1" applyAlignment="1">
      <alignment horizontal="left" vertical="center"/>
    </xf>
    <xf numFmtId="0" fontId="0" fillId="0" borderId="0" xfId="0"/>
    <xf numFmtId="0" fontId="11" fillId="0" borderId="0" xfId="2"/>
    <xf numFmtId="0" fontId="57" fillId="0" borderId="0" xfId="2" applyFont="1"/>
    <xf numFmtId="0" fontId="0" fillId="0" borderId="27" xfId="0" applyBorder="1" applyAlignment="1">
      <alignment horizontal="left"/>
    </xf>
    <xf numFmtId="4" fontId="11" fillId="0" borderId="148" xfId="1" applyNumberFormat="1" applyFont="1" applyFill="1" applyBorder="1" applyAlignment="1" applyProtection="1">
      <alignment horizontal="right" vertical="center"/>
    </xf>
    <xf numFmtId="4" fontId="11" fillId="0" borderId="10" xfId="1" applyNumberFormat="1" applyFont="1" applyFill="1" applyBorder="1" applyAlignment="1" applyProtection="1">
      <alignment horizontal="center" vertical="center"/>
    </xf>
    <xf numFmtId="4" fontId="0" fillId="0" borderId="22" xfId="2" applyNumberFormat="1" applyFont="1" applyBorder="1" applyAlignment="1">
      <alignment horizontal="center" vertical="center"/>
    </xf>
    <xf numFmtId="0" fontId="0" fillId="0" borderId="10" xfId="2" applyNumberFormat="1" applyFont="1" applyBorder="1" applyAlignment="1">
      <alignment horizontal="center" vertical="center"/>
    </xf>
    <xf numFmtId="0" fontId="12" fillId="0" borderId="118" xfId="2" applyNumberFormat="1" applyFont="1" applyBorder="1" applyAlignment="1">
      <alignment horizontal="left" vertical="center"/>
    </xf>
    <xf numFmtId="2" fontId="12" fillId="0" borderId="118" xfId="2" applyNumberFormat="1" applyFont="1" applyBorder="1" applyAlignment="1">
      <alignment horizontal="center" vertical="center"/>
    </xf>
    <xf numFmtId="0" fontId="11" fillId="0" borderId="10" xfId="2" applyNumberFormat="1" applyFont="1" applyBorder="1" applyAlignment="1">
      <alignment horizontal="center" vertical="center"/>
    </xf>
    <xf numFmtId="0" fontId="0" fillId="6" borderId="10" xfId="2" applyNumberFormat="1" applyFont="1" applyFill="1" applyBorder="1" applyAlignment="1">
      <alignment horizontal="center" vertical="center"/>
    </xf>
    <xf numFmtId="4" fontId="0" fillId="0" borderId="118" xfId="2" applyNumberFormat="1" applyFont="1" applyBorder="1" applyAlignment="1">
      <alignment horizontal="center" vertical="center"/>
    </xf>
    <xf numFmtId="4" fontId="11" fillId="0" borderId="148" xfId="1" applyNumberFormat="1" applyFont="1" applyFill="1" applyBorder="1" applyAlignment="1" applyProtection="1">
      <alignment horizontal="center" vertical="center"/>
    </xf>
    <xf numFmtId="0" fontId="0" fillId="0" borderId="22" xfId="2" applyNumberFormat="1" applyFont="1" applyBorder="1" applyAlignment="1">
      <alignment horizontal="center" vertical="center"/>
    </xf>
    <xf numFmtId="0" fontId="0" fillId="0" borderId="10" xfId="2" applyNumberFormat="1" applyFont="1" applyFill="1" applyBorder="1" applyAlignment="1">
      <alignment horizontal="center" vertical="center"/>
    </xf>
    <xf numFmtId="0" fontId="11" fillId="0" borderId="10" xfId="2" applyNumberFormat="1" applyFont="1" applyFill="1" applyBorder="1" applyAlignment="1">
      <alignment horizontal="center" vertical="center"/>
    </xf>
    <xf numFmtId="0" fontId="11" fillId="0" borderId="0" xfId="2" applyFont="1"/>
    <xf numFmtId="0" fontId="11" fillId="0" borderId="20" xfId="2" applyNumberFormat="1" applyFont="1" applyBorder="1" applyAlignment="1">
      <alignment horizontal="left" vertical="center"/>
    </xf>
    <xf numFmtId="0" fontId="0" fillId="0" borderId="22" xfId="0" applyNumberFormat="1" applyBorder="1" applyAlignment="1">
      <alignment horizontal="left" vertical="center"/>
    </xf>
    <xf numFmtId="0" fontId="11" fillId="4" borderId="10" xfId="2" applyNumberFormat="1" applyFont="1" applyFill="1" applyBorder="1" applyAlignment="1">
      <alignment horizontal="center" vertical="center"/>
    </xf>
    <xf numFmtId="0" fontId="11" fillId="4" borderId="20" xfId="2" applyNumberFormat="1" applyFont="1" applyFill="1" applyBorder="1" applyAlignment="1">
      <alignment horizontal="left" vertical="center"/>
    </xf>
    <xf numFmtId="2" fontId="14" fillId="4" borderId="118" xfId="1" applyNumberFormat="1" applyFont="1" applyFill="1" applyBorder="1" applyAlignment="1">
      <alignment horizontal="center" vertical="center"/>
    </xf>
    <xf numFmtId="0" fontId="14" fillId="4" borderId="118" xfId="2" applyNumberFormat="1" applyFont="1" applyFill="1" applyBorder="1" applyAlignment="1">
      <alignment horizontal="left" vertical="center"/>
    </xf>
    <xf numFmtId="0" fontId="11" fillId="4" borderId="22" xfId="2" applyNumberFormat="1" applyFont="1" applyFill="1" applyBorder="1" applyAlignment="1">
      <alignment horizontal="left" vertical="center"/>
    </xf>
    <xf numFmtId="0" fontId="0" fillId="0" borderId="46" xfId="2" applyNumberFormat="1" applyFont="1" applyBorder="1" applyAlignment="1">
      <alignment horizontal="center" vertical="center"/>
    </xf>
    <xf numFmtId="0" fontId="11" fillId="0" borderId="22" xfId="2" applyNumberFormat="1" applyFont="1" applyBorder="1" applyAlignment="1">
      <alignment horizontal="left" vertical="center"/>
    </xf>
    <xf numFmtId="4" fontId="11" fillId="4" borderId="10" xfId="1" applyNumberFormat="1" applyFont="1" applyFill="1" applyBorder="1" applyAlignment="1" applyProtection="1">
      <alignment horizontal="center" vertical="center"/>
    </xf>
    <xf numFmtId="2" fontId="11" fillId="4" borderId="118" xfId="2" applyNumberFormat="1" applyFont="1" applyFill="1" applyBorder="1" applyAlignment="1">
      <alignment horizontal="center" vertical="center"/>
    </xf>
    <xf numFmtId="0" fontId="11" fillId="4" borderId="118" xfId="2" applyNumberFormat="1" applyFont="1" applyFill="1" applyBorder="1" applyAlignment="1">
      <alignment horizontal="left" vertical="center"/>
    </xf>
    <xf numFmtId="4" fontId="11" fillId="4" borderId="112" xfId="2" applyNumberFormat="1" applyFont="1" applyFill="1" applyBorder="1" applyAlignment="1">
      <alignment horizontal="center" vertical="center"/>
    </xf>
    <xf numFmtId="0" fontId="11" fillId="4" borderId="46" xfId="2" applyNumberFormat="1" applyFont="1" applyFill="1" applyBorder="1" applyAlignment="1">
      <alignment horizontal="center" vertical="center"/>
    </xf>
    <xf numFmtId="4" fontId="11" fillId="4" borderId="107" xfId="1" applyNumberFormat="1" applyFont="1" applyFill="1" applyBorder="1" applyAlignment="1" applyProtection="1">
      <alignment horizontal="center" vertical="center"/>
    </xf>
    <xf numFmtId="4" fontId="11" fillId="4" borderId="148" xfId="1" applyNumberFormat="1" applyFont="1" applyFill="1" applyBorder="1" applyAlignment="1" applyProtection="1">
      <alignment horizontal="center" vertical="center"/>
    </xf>
    <xf numFmtId="0" fontId="11" fillId="4" borderId="107" xfId="2" applyNumberFormat="1" applyFont="1" applyFill="1" applyBorder="1" applyAlignment="1">
      <alignment horizontal="center" vertical="center"/>
    </xf>
    <xf numFmtId="0" fontId="11" fillId="4" borderId="32" xfId="2" applyNumberFormat="1" applyFont="1" applyFill="1" applyBorder="1" applyAlignment="1">
      <alignment horizontal="left" vertical="center"/>
    </xf>
    <xf numFmtId="2" fontId="14" fillId="4" borderId="0" xfId="1" applyNumberFormat="1" applyFont="1" applyFill="1" applyBorder="1" applyAlignment="1">
      <alignment horizontal="center" vertical="center"/>
    </xf>
    <xf numFmtId="0" fontId="14" fillId="4" borderId="0" xfId="2" applyNumberFormat="1" applyFont="1" applyFill="1" applyBorder="1" applyAlignment="1">
      <alignment horizontal="left" vertical="center"/>
    </xf>
    <xf numFmtId="0" fontId="11" fillId="4" borderId="33" xfId="2" applyNumberFormat="1" applyFont="1" applyFill="1" applyBorder="1" applyAlignment="1">
      <alignment horizontal="left" vertical="center"/>
    </xf>
    <xf numFmtId="4" fontId="11" fillId="0" borderId="10" xfId="1" applyNumberFormat="1" applyFont="1" applyFill="1" applyBorder="1" applyAlignment="1" applyProtection="1">
      <alignment horizontal="right" vertical="center"/>
    </xf>
    <xf numFmtId="0" fontId="11" fillId="4" borderId="113" xfId="2" applyNumberFormat="1" applyFont="1" applyFill="1" applyBorder="1" applyAlignment="1">
      <alignment horizontal="left" vertical="center"/>
    </xf>
    <xf numFmtId="0" fontId="11" fillId="4" borderId="112" xfId="2" applyNumberFormat="1" applyFont="1" applyFill="1" applyBorder="1" applyAlignment="1">
      <alignment horizontal="left" vertical="center"/>
    </xf>
    <xf numFmtId="0" fontId="11" fillId="4" borderId="108" xfId="2" applyNumberFormat="1" applyFont="1" applyFill="1" applyBorder="1" applyAlignment="1">
      <alignment horizontal="center" vertical="center"/>
    </xf>
    <xf numFmtId="0" fontId="11" fillId="4" borderId="113" xfId="2" applyNumberFormat="1" applyFont="1" applyFill="1" applyBorder="1" applyAlignment="1">
      <alignment horizontal="left" vertical="center" wrapText="1"/>
    </xf>
    <xf numFmtId="2" fontId="14" fillId="4" borderId="118" xfId="1" applyNumberFormat="1" applyFont="1" applyFill="1" applyBorder="1" applyAlignment="1">
      <alignment horizontal="center" vertical="center" wrapText="1"/>
    </xf>
    <xf numFmtId="0" fontId="11" fillId="4" borderId="118" xfId="2" applyNumberFormat="1" applyFont="1" applyFill="1" applyBorder="1" applyAlignment="1">
      <alignment horizontal="left" vertical="center" wrapText="1"/>
    </xf>
    <xf numFmtId="0" fontId="11" fillId="4" borderId="112" xfId="2" applyNumberFormat="1" applyFont="1" applyFill="1" applyBorder="1" applyAlignment="1">
      <alignment horizontal="left" vertical="center" wrapText="1"/>
    </xf>
    <xf numFmtId="2" fontId="11" fillId="4" borderId="118" xfId="2" applyNumberFormat="1" applyFont="1" applyFill="1" applyBorder="1" applyAlignment="1">
      <alignment horizontal="center" vertical="center" wrapText="1"/>
    </xf>
    <xf numFmtId="4" fontId="11" fillId="4" borderId="33" xfId="2" applyNumberFormat="1" applyFont="1" applyFill="1" applyBorder="1" applyAlignment="1">
      <alignment horizontal="center" vertical="center"/>
    </xf>
    <xf numFmtId="0" fontId="11" fillId="4" borderId="32" xfId="2" applyNumberFormat="1" applyFont="1" applyFill="1" applyBorder="1" applyAlignment="1">
      <alignment horizontal="left" vertical="center" wrapText="1"/>
    </xf>
    <xf numFmtId="2" fontId="11" fillId="4" borderId="0" xfId="2" applyNumberFormat="1" applyFont="1" applyFill="1" applyBorder="1" applyAlignment="1">
      <alignment horizontal="center" vertical="center" wrapText="1"/>
    </xf>
    <xf numFmtId="0" fontId="11" fillId="4" borderId="0" xfId="2" applyNumberFormat="1" applyFont="1" applyFill="1" applyBorder="1" applyAlignment="1">
      <alignment horizontal="left" vertical="center" wrapText="1"/>
    </xf>
    <xf numFmtId="0" fontId="11" fillId="4" borderId="33" xfId="2" applyNumberFormat="1" applyFont="1" applyFill="1" applyBorder="1" applyAlignment="1">
      <alignment horizontal="left" vertical="center" wrapText="1"/>
    </xf>
    <xf numFmtId="0" fontId="11" fillId="4" borderId="31" xfId="2" applyNumberFormat="1" applyFont="1" applyFill="1" applyBorder="1" applyAlignment="1">
      <alignment horizontal="center" vertical="center"/>
    </xf>
    <xf numFmtId="0" fontId="11" fillId="4" borderId="52" xfId="2" applyNumberFormat="1" applyFont="1" applyFill="1" applyBorder="1" applyAlignment="1">
      <alignment horizontal="center" vertical="center"/>
    </xf>
    <xf numFmtId="4" fontId="11" fillId="4" borderId="10" xfId="1" applyNumberFormat="1" applyFont="1" applyFill="1" applyBorder="1" applyAlignment="1">
      <alignment horizontal="center" vertical="center"/>
    </xf>
    <xf numFmtId="0" fontId="12" fillId="4" borderId="22" xfId="2" applyNumberFormat="1" applyFont="1" applyFill="1" applyBorder="1" applyAlignment="1">
      <alignment horizontal="left" vertical="center"/>
    </xf>
    <xf numFmtId="0" fontId="12" fillId="4" borderId="10" xfId="2" applyNumberFormat="1" applyFont="1" applyFill="1" applyBorder="1" applyAlignment="1">
      <alignment horizontal="center" vertical="center"/>
    </xf>
    <xf numFmtId="0" fontId="12" fillId="0" borderId="10" xfId="2" applyNumberFormat="1" applyFont="1" applyFill="1" applyBorder="1" applyAlignment="1">
      <alignment horizontal="center" vertical="center"/>
    </xf>
    <xf numFmtId="0" fontId="11" fillId="0" borderId="20" xfId="2" applyNumberFormat="1" applyFont="1" applyFill="1" applyBorder="1" applyAlignment="1">
      <alignment horizontal="left" vertical="center"/>
    </xf>
    <xf numFmtId="0" fontId="0" fillId="0" borderId="22" xfId="2" applyNumberFormat="1" applyFont="1" applyFill="1" applyBorder="1" applyAlignment="1">
      <alignment horizontal="left" vertical="center"/>
    </xf>
    <xf numFmtId="0" fontId="11" fillId="0" borderId="0" xfId="2" applyFont="1" applyAlignment="1">
      <alignment vertical="center"/>
    </xf>
    <xf numFmtId="0" fontId="67" fillId="0" borderId="0" xfId="2" applyFont="1"/>
    <xf numFmtId="0" fontId="0" fillId="0" borderId="22" xfId="0" applyBorder="1"/>
    <xf numFmtId="0" fontId="83" fillId="32" borderId="26" xfId="124" applyFont="1" applyFill="1" applyBorder="1" applyAlignment="1">
      <alignment vertical="center"/>
    </xf>
    <xf numFmtId="0" fontId="12" fillId="33" borderId="44" xfId="2" applyFont="1" applyFill="1" applyBorder="1" applyAlignment="1">
      <alignment vertical="center"/>
    </xf>
    <xf numFmtId="0" fontId="12" fillId="33" borderId="0" xfId="2" applyFont="1" applyFill="1" applyBorder="1" applyAlignment="1">
      <alignment vertical="center"/>
    </xf>
    <xf numFmtId="4" fontId="12" fillId="33" borderId="0" xfId="2" applyNumberFormat="1" applyFont="1" applyFill="1" applyBorder="1" applyAlignment="1">
      <alignment horizontal="left" vertical="center"/>
    </xf>
    <xf numFmtId="2" fontId="12" fillId="33" borderId="0" xfId="2" applyNumberFormat="1" applyFont="1" applyFill="1" applyBorder="1" applyAlignment="1">
      <alignment horizontal="left" vertical="center"/>
    </xf>
    <xf numFmtId="0" fontId="0" fillId="33" borderId="0" xfId="2" applyFont="1" applyFill="1" applyBorder="1" applyAlignment="1">
      <alignment horizontal="right" vertical="center"/>
    </xf>
    <xf numFmtId="0" fontId="12" fillId="33" borderId="44" xfId="2" applyFont="1" applyFill="1" applyBorder="1" applyAlignment="1">
      <alignment horizontal="left" vertical="center"/>
    </xf>
    <xf numFmtId="0" fontId="12" fillId="33" borderId="0" xfId="2" applyFont="1" applyFill="1" applyBorder="1" applyAlignment="1">
      <alignment horizontal="center" vertical="center"/>
    </xf>
    <xf numFmtId="2" fontId="12" fillId="33" borderId="0" xfId="2" applyNumberFormat="1" applyFont="1" applyFill="1" applyBorder="1" applyAlignment="1">
      <alignment horizontal="center" vertical="center"/>
    </xf>
    <xf numFmtId="0" fontId="16" fillId="33" borderId="0" xfId="2" applyFont="1" applyFill="1" applyBorder="1" applyAlignment="1">
      <alignment horizontal="center" vertical="center"/>
    </xf>
    <xf numFmtId="0" fontId="11" fillId="33" borderId="0" xfId="2" applyFont="1" applyFill="1" applyBorder="1" applyAlignment="1">
      <alignment horizontal="center" vertical="center"/>
    </xf>
    <xf numFmtId="0" fontId="12" fillId="33" borderId="0" xfId="2" applyFont="1" applyFill="1" applyBorder="1" applyAlignment="1">
      <alignment horizontal="left" vertical="center"/>
    </xf>
    <xf numFmtId="49" fontId="12" fillId="33" borderId="12" xfId="2" applyNumberFormat="1" applyFont="1" applyFill="1" applyBorder="1" applyAlignment="1">
      <alignment horizontal="right" vertical="center"/>
    </xf>
    <xf numFmtId="49" fontId="12" fillId="33" borderId="43" xfId="2" applyNumberFormat="1" applyFont="1" applyFill="1" applyBorder="1" applyAlignment="1">
      <alignment horizontal="right" vertical="center"/>
    </xf>
    <xf numFmtId="4" fontId="11" fillId="33" borderId="0" xfId="2" applyNumberFormat="1" applyFont="1" applyFill="1" applyBorder="1" applyAlignment="1">
      <alignment horizontal="center" vertical="center"/>
    </xf>
    <xf numFmtId="10" fontId="12" fillId="33" borderId="43" xfId="2" applyNumberFormat="1" applyFont="1" applyFill="1" applyBorder="1" applyAlignment="1">
      <alignment vertical="center"/>
    </xf>
    <xf numFmtId="0" fontId="12" fillId="33" borderId="25" xfId="2" applyFont="1" applyFill="1" applyBorder="1" applyAlignment="1">
      <alignment vertical="center"/>
    </xf>
    <xf numFmtId="165" fontId="12" fillId="33" borderId="17" xfId="3" applyFont="1" applyFill="1" applyBorder="1" applyAlignment="1" applyProtection="1">
      <alignment horizontal="center" vertical="center"/>
    </xf>
    <xf numFmtId="166" fontId="12" fillId="33" borderId="39" xfId="3" applyNumberFormat="1" applyFont="1" applyFill="1" applyBorder="1" applyAlignment="1" applyProtection="1">
      <alignment horizontal="center" vertical="center"/>
    </xf>
    <xf numFmtId="0" fontId="65" fillId="33" borderId="27" xfId="0" applyFont="1" applyFill="1" applyBorder="1" applyAlignment="1">
      <alignment horizontal="left" vertical="center"/>
    </xf>
    <xf numFmtId="0" fontId="12" fillId="25" borderId="156" xfId="2" applyNumberFormat="1" applyFont="1" applyFill="1" applyBorder="1" applyAlignment="1">
      <alignment horizontal="center" vertical="center"/>
    </xf>
    <xf numFmtId="0" fontId="12" fillId="25" borderId="157" xfId="2" applyNumberFormat="1" applyFont="1" applyFill="1" applyBorder="1" applyAlignment="1">
      <alignment horizontal="center" vertical="center"/>
    </xf>
    <xf numFmtId="0" fontId="12" fillId="25" borderId="157" xfId="2" applyNumberFormat="1" applyFont="1" applyFill="1" applyBorder="1" applyAlignment="1">
      <alignment horizontal="left" vertical="center"/>
    </xf>
    <xf numFmtId="0" fontId="0" fillId="25" borderId="157" xfId="2" applyNumberFormat="1" applyFont="1" applyFill="1" applyBorder="1" applyAlignment="1">
      <alignment horizontal="left" vertical="center"/>
    </xf>
    <xf numFmtId="0" fontId="0" fillId="25" borderId="157" xfId="2" applyNumberFormat="1" applyFont="1" applyFill="1" applyBorder="1" applyAlignment="1">
      <alignment horizontal="right" vertical="center"/>
    </xf>
    <xf numFmtId="0" fontId="12" fillId="25" borderId="157" xfId="2" applyNumberFormat="1" applyFont="1" applyFill="1" applyBorder="1" applyAlignment="1">
      <alignment horizontal="right" vertical="center"/>
    </xf>
    <xf numFmtId="0" fontId="12" fillId="25" borderId="151" xfId="2" applyNumberFormat="1" applyFont="1" applyFill="1" applyBorder="1" applyAlignment="1">
      <alignment horizontal="right" vertical="center"/>
    </xf>
    <xf numFmtId="0" fontId="0" fillId="0" borderId="158" xfId="2" applyNumberFormat="1" applyFont="1" applyFill="1" applyBorder="1" applyAlignment="1">
      <alignment horizontal="center" vertical="center"/>
    </xf>
    <xf numFmtId="0" fontId="0" fillId="0" borderId="159" xfId="2" applyNumberFormat="1" applyFont="1" applyFill="1" applyBorder="1" applyAlignment="1">
      <alignment horizontal="center" vertical="center"/>
    </xf>
    <xf numFmtId="0" fontId="0" fillId="0" borderId="160" xfId="2" applyNumberFormat="1" applyFont="1" applyFill="1" applyBorder="1" applyAlignment="1">
      <alignment horizontal="left" vertical="center"/>
    </xf>
    <xf numFmtId="0" fontId="0" fillId="0" borderId="13" xfId="2" applyNumberFormat="1" applyFont="1" applyFill="1" applyBorder="1" applyAlignment="1">
      <alignment horizontal="center" vertical="center"/>
    </xf>
    <xf numFmtId="0" fontId="0" fillId="0" borderId="47" xfId="2" applyNumberFormat="1" applyFont="1" applyFill="1" applyBorder="1" applyAlignment="1">
      <alignment horizontal="left" vertical="center"/>
    </xf>
    <xf numFmtId="0" fontId="0" fillId="0" borderId="161" xfId="2" applyNumberFormat="1" applyFont="1" applyFill="1" applyBorder="1" applyAlignment="1">
      <alignment horizontal="center" vertical="center"/>
    </xf>
    <xf numFmtId="4" fontId="0" fillId="0" borderId="161" xfId="119" applyNumberFormat="1" applyFont="1" applyFill="1" applyBorder="1" applyAlignment="1" applyProtection="1">
      <alignment horizontal="right" vertical="center"/>
    </xf>
    <xf numFmtId="175" fontId="11" fillId="0" borderId="159" xfId="119" applyBorder="1" applyAlignment="1">
      <alignment vertical="center"/>
    </xf>
    <xf numFmtId="4" fontId="0" fillId="0" borderId="162" xfId="2" applyNumberFormat="1" applyFont="1" applyFill="1" applyBorder="1" applyAlignment="1">
      <alignment horizontal="right" vertical="center"/>
    </xf>
    <xf numFmtId="0" fontId="0" fillId="0" borderId="75" xfId="2" applyNumberFormat="1" applyFont="1" applyFill="1" applyBorder="1" applyAlignment="1">
      <alignment horizontal="center" vertical="center"/>
    </xf>
    <xf numFmtId="0" fontId="0" fillId="0" borderId="77" xfId="2" applyNumberFormat="1" applyFont="1" applyFill="1" applyBorder="1" applyAlignment="1">
      <alignment horizontal="center" vertical="center"/>
    </xf>
    <xf numFmtId="0" fontId="0" fillId="0" borderId="78" xfId="2" applyNumberFormat="1" applyFont="1" applyFill="1" applyBorder="1" applyAlignment="1">
      <alignment horizontal="left" vertical="center"/>
    </xf>
    <xf numFmtId="4" fontId="0" fillId="0" borderId="74" xfId="119" applyNumberFormat="1" applyFont="1" applyFill="1" applyBorder="1" applyAlignment="1" applyProtection="1">
      <alignment horizontal="right" vertical="center"/>
    </xf>
    <xf numFmtId="175" fontId="11" fillId="0" borderId="75" xfId="119" applyBorder="1" applyAlignment="1">
      <alignment vertical="center"/>
    </xf>
    <xf numFmtId="4" fontId="0" fillId="0" borderId="131" xfId="2" applyNumberFormat="1" applyFont="1" applyFill="1" applyBorder="1" applyAlignment="1">
      <alignment horizontal="right" vertical="center"/>
    </xf>
    <xf numFmtId="175" fontId="11" fillId="0" borderId="75" xfId="119" applyBorder="1"/>
    <xf numFmtId="0" fontId="0" fillId="0" borderId="163" xfId="2" applyNumberFormat="1" applyFont="1" applyFill="1" applyBorder="1" applyAlignment="1">
      <alignment horizontal="center" vertical="center"/>
    </xf>
    <xf numFmtId="0" fontId="0" fillId="0" borderId="153" xfId="2" applyNumberFormat="1" applyFont="1" applyBorder="1" applyAlignment="1">
      <alignment horizontal="center" vertical="center"/>
    </xf>
    <xf numFmtId="0" fontId="0" fillId="0" borderId="164" xfId="2" applyNumberFormat="1" applyFont="1" applyBorder="1" applyAlignment="1">
      <alignment horizontal="left" vertical="center" wrapText="1"/>
    </xf>
    <xf numFmtId="0" fontId="0" fillId="0" borderId="135" xfId="2" applyNumberFormat="1" applyFont="1" applyBorder="1" applyAlignment="1">
      <alignment horizontal="left" vertical="center" wrapText="1"/>
    </xf>
    <xf numFmtId="0" fontId="0" fillId="0" borderId="135" xfId="2" applyNumberFormat="1" applyFont="1" applyBorder="1" applyAlignment="1">
      <alignment horizontal="center" vertical="center" wrapText="1"/>
    </xf>
    <xf numFmtId="0" fontId="0" fillId="0" borderId="165" xfId="2" applyNumberFormat="1" applyFont="1" applyBorder="1" applyAlignment="1">
      <alignment horizontal="left" vertical="center" wrapText="1"/>
    </xf>
    <xf numFmtId="0" fontId="0" fillId="0" borderId="153" xfId="2" applyNumberFormat="1" applyFont="1" applyFill="1" applyBorder="1" applyAlignment="1">
      <alignment horizontal="center" vertical="center"/>
    </xf>
    <xf numFmtId="4" fontId="0" fillId="0" borderId="153" xfId="119" applyNumberFormat="1" applyFont="1" applyFill="1" applyBorder="1" applyAlignment="1" applyProtection="1">
      <alignment horizontal="right" vertical="center"/>
    </xf>
    <xf numFmtId="175" fontId="11" fillId="0" borderId="153" xfId="119" applyBorder="1"/>
    <xf numFmtId="4" fontId="0" fillId="0" borderId="166" xfId="2" applyNumberFormat="1" applyFont="1" applyFill="1" applyBorder="1" applyAlignment="1">
      <alignment horizontal="right" vertical="center"/>
    </xf>
    <xf numFmtId="0" fontId="0" fillId="0" borderId="13" xfId="0" applyBorder="1"/>
    <xf numFmtId="0" fontId="0" fillId="0" borderId="13" xfId="0" applyBorder="1" applyAlignment="1">
      <alignment horizontal="right"/>
    </xf>
    <xf numFmtId="0" fontId="0" fillId="0" borderId="12" xfId="0" applyBorder="1" applyAlignment="1">
      <alignment horizontal="right"/>
    </xf>
    <xf numFmtId="0" fontId="14" fillId="4" borderId="44" xfId="0" applyFont="1" applyFill="1" applyBorder="1"/>
    <xf numFmtId="49" fontId="14" fillId="4" borderId="27" xfId="0" applyNumberFormat="1" applyFont="1" applyFill="1" applyBorder="1" applyAlignment="1">
      <alignment horizontal="left"/>
    </xf>
    <xf numFmtId="0" fontId="0" fillId="0" borderId="26" xfId="0" applyBorder="1" applyAlignment="1">
      <alignment horizontal="right"/>
    </xf>
    <xf numFmtId="0" fontId="0" fillId="0" borderId="118" xfId="0" applyBorder="1"/>
    <xf numFmtId="0" fontId="12" fillId="0" borderId="118" xfId="2" applyNumberFormat="1" applyFont="1" applyBorder="1" applyAlignment="1">
      <alignment horizontal="center" vertical="center"/>
    </xf>
    <xf numFmtId="4" fontId="11" fillId="0" borderId="118" xfId="2" applyNumberFormat="1" applyFont="1" applyBorder="1" applyAlignment="1">
      <alignment horizontal="center" vertical="center"/>
    </xf>
    <xf numFmtId="0" fontId="0" fillId="6" borderId="24" xfId="2" applyNumberFormat="1" applyFont="1" applyFill="1" applyBorder="1" applyAlignment="1">
      <alignment horizontal="center" vertical="center"/>
    </xf>
    <xf numFmtId="0" fontId="0" fillId="0" borderId="24" xfId="2" applyNumberFormat="1" applyFont="1" applyBorder="1" applyAlignment="1">
      <alignment horizontal="center" vertical="center"/>
    </xf>
    <xf numFmtId="0" fontId="0" fillId="0" borderId="167" xfId="0" applyBorder="1"/>
    <xf numFmtId="0" fontId="12" fillId="0" borderId="26" xfId="2" applyNumberFormat="1" applyFont="1" applyBorder="1" applyAlignment="1">
      <alignment horizontal="left" vertical="center"/>
    </xf>
    <xf numFmtId="2" fontId="12" fillId="0" borderId="26" xfId="2" applyNumberFormat="1" applyFont="1" applyBorder="1" applyAlignment="1">
      <alignment horizontal="center" vertical="center"/>
    </xf>
    <xf numFmtId="4" fontId="0" fillId="0" borderId="27" xfId="2" applyNumberFormat="1" applyFont="1" applyBorder="1" applyAlignment="1">
      <alignment horizontal="center" vertical="center"/>
    </xf>
    <xf numFmtId="4" fontId="11" fillId="0" borderId="24" xfId="1" applyNumberFormat="1" applyFont="1" applyFill="1" applyBorder="1" applyAlignment="1" applyProtection="1">
      <alignment horizontal="center" vertical="center"/>
    </xf>
    <xf numFmtId="4" fontId="0" fillId="0" borderId="24" xfId="1" applyNumberFormat="1" applyFont="1" applyFill="1" applyBorder="1" applyAlignment="1" applyProtection="1">
      <alignment horizontal="center" vertical="center"/>
    </xf>
    <xf numFmtId="4" fontId="11" fillId="0" borderId="24" xfId="1" applyNumberFormat="1" applyFont="1" applyFill="1" applyBorder="1" applyAlignment="1" applyProtection="1">
      <alignment horizontal="right" vertical="center"/>
    </xf>
    <xf numFmtId="9" fontId="11" fillId="0" borderId="0" xfId="127" applyFont="1"/>
    <xf numFmtId="0" fontId="0" fillId="0" borderId="118" xfId="0" applyFill="1" applyBorder="1"/>
    <xf numFmtId="0" fontId="0" fillId="0" borderId="168" xfId="2" applyNumberFormat="1" applyFont="1" applyFill="1" applyBorder="1" applyAlignment="1">
      <alignment horizontal="center" vertical="center"/>
    </xf>
    <xf numFmtId="0" fontId="0" fillId="0" borderId="169" xfId="2" applyNumberFormat="1" applyFont="1" applyFill="1" applyBorder="1" applyAlignment="1">
      <alignment horizontal="left" vertical="center"/>
    </xf>
    <xf numFmtId="0" fontId="0" fillId="0" borderId="170" xfId="2" applyNumberFormat="1" applyFont="1" applyFill="1" applyBorder="1" applyAlignment="1">
      <alignment horizontal="left" vertical="center"/>
    </xf>
    <xf numFmtId="0" fontId="0" fillId="0" borderId="170" xfId="2" applyNumberFormat="1" applyFont="1" applyFill="1" applyBorder="1" applyAlignment="1">
      <alignment horizontal="center" vertical="center"/>
    </xf>
    <xf numFmtId="0" fontId="0" fillId="0" borderId="171" xfId="2" applyNumberFormat="1" applyFont="1" applyFill="1" applyBorder="1" applyAlignment="1">
      <alignment horizontal="left" vertical="center"/>
    </xf>
    <xf numFmtId="4" fontId="0" fillId="0" borderId="172" xfId="119" applyNumberFormat="1" applyFont="1" applyFill="1" applyBorder="1" applyAlignment="1" applyProtection="1">
      <alignment horizontal="right" vertical="center"/>
    </xf>
    <xf numFmtId="0" fontId="0" fillId="0" borderId="172" xfId="2" applyNumberFormat="1" applyFont="1" applyFill="1" applyBorder="1" applyAlignment="1">
      <alignment horizontal="center" vertical="center"/>
    </xf>
    <xf numFmtId="175" fontId="11" fillId="4" borderId="172" xfId="119" applyFill="1" applyBorder="1"/>
    <xf numFmtId="2" fontId="0" fillId="0" borderId="173" xfId="2" applyNumberFormat="1" applyFont="1" applyFill="1" applyBorder="1" applyAlignment="1">
      <alignment horizontal="right" vertical="center"/>
    </xf>
    <xf numFmtId="0" fontId="0" fillId="0" borderId="108" xfId="2" applyNumberFormat="1" applyFont="1" applyFill="1" applyBorder="1" applyAlignment="1">
      <alignment horizontal="center" vertical="center"/>
    </xf>
    <xf numFmtId="0" fontId="0" fillId="0" borderId="112" xfId="2" applyNumberFormat="1" applyFont="1" applyFill="1" applyBorder="1" applyAlignment="1">
      <alignment horizontal="left" vertical="center"/>
    </xf>
    <xf numFmtId="0" fontId="0" fillId="0" borderId="118" xfId="2" applyNumberFormat="1" applyFont="1" applyFill="1" applyBorder="1" applyAlignment="1">
      <alignment horizontal="left" vertical="center"/>
    </xf>
    <xf numFmtId="0" fontId="0" fillId="0" borderId="118" xfId="2" applyNumberFormat="1" applyFont="1" applyFill="1" applyBorder="1" applyAlignment="1">
      <alignment horizontal="center" vertical="center"/>
    </xf>
    <xf numFmtId="0" fontId="0" fillId="0" borderId="113" xfId="2" applyNumberFormat="1" applyFont="1" applyFill="1" applyBorder="1" applyAlignment="1">
      <alignment horizontal="left" vertical="center"/>
    </xf>
    <xf numFmtId="4" fontId="0" fillId="0" borderId="46" xfId="119" applyNumberFormat="1" applyFont="1" applyFill="1" applyBorder="1" applyAlignment="1" applyProtection="1">
      <alignment horizontal="right" vertical="center"/>
    </xf>
    <xf numFmtId="0" fontId="0" fillId="0" borderId="46" xfId="2" applyNumberFormat="1" applyFont="1" applyFill="1" applyBorder="1" applyAlignment="1">
      <alignment horizontal="center" vertical="center"/>
    </xf>
    <xf numFmtId="175" fontId="11" fillId="4" borderId="46" xfId="119" applyFill="1" applyBorder="1"/>
    <xf numFmtId="2" fontId="0" fillId="0" borderId="174" xfId="2" applyNumberFormat="1" applyFont="1" applyFill="1" applyBorder="1" applyAlignment="1">
      <alignment horizontal="right" vertical="center"/>
    </xf>
    <xf numFmtId="0" fontId="0" fillId="0" borderId="145" xfId="2" applyNumberFormat="1" applyFont="1" applyFill="1" applyBorder="1" applyAlignment="1">
      <alignment horizontal="center" vertical="center"/>
    </xf>
    <xf numFmtId="0" fontId="0" fillId="0" borderId="175" xfId="2" applyNumberFormat="1" applyFont="1" applyFill="1" applyBorder="1" applyAlignment="1">
      <alignment horizontal="left" vertical="center"/>
    </xf>
    <xf numFmtId="0" fontId="0" fillId="0" borderId="0" xfId="2" applyNumberFormat="1" applyFont="1" applyFill="1" applyBorder="1" applyAlignment="1">
      <alignment horizontal="left" vertical="center"/>
    </xf>
    <xf numFmtId="0" fontId="0" fillId="0" borderId="0" xfId="2" applyNumberFormat="1" applyFont="1" applyFill="1" applyBorder="1" applyAlignment="1">
      <alignment horizontal="center" vertical="center"/>
    </xf>
    <xf numFmtId="0" fontId="0" fillId="0" borderId="32" xfId="2" applyNumberFormat="1" applyFont="1" applyFill="1" applyBorder="1" applyAlignment="1">
      <alignment horizontal="left" vertical="center"/>
    </xf>
    <xf numFmtId="4" fontId="0" fillId="0" borderId="31" xfId="119" applyNumberFormat="1" applyFont="1" applyFill="1" applyBorder="1" applyAlignment="1" applyProtection="1">
      <alignment horizontal="right" vertical="center"/>
    </xf>
    <xf numFmtId="0" fontId="0" fillId="0" borderId="31" xfId="2" applyNumberFormat="1" applyFont="1" applyFill="1" applyBorder="1" applyAlignment="1">
      <alignment horizontal="center" vertical="center"/>
    </xf>
    <xf numFmtId="0" fontId="0" fillId="0" borderId="45" xfId="2" applyNumberFormat="1" applyFont="1" applyFill="1" applyBorder="1" applyAlignment="1">
      <alignment horizontal="center" vertical="center"/>
    </xf>
    <xf numFmtId="175" fontId="11" fillId="4" borderId="45" xfId="119" applyFill="1" applyBorder="1"/>
    <xf numFmtId="2" fontId="0" fillId="0" borderId="152" xfId="2" applyNumberFormat="1" applyFont="1" applyFill="1" applyBorder="1" applyAlignment="1">
      <alignment horizontal="right" vertical="center"/>
    </xf>
    <xf numFmtId="0" fontId="12" fillId="4" borderId="71" xfId="2" applyNumberFormat="1" applyFont="1" applyFill="1" applyBorder="1" applyAlignment="1">
      <alignment horizontal="right" vertical="center"/>
    </xf>
    <xf numFmtId="0" fontId="0" fillId="0" borderId="32" xfId="2" applyNumberFormat="1" applyFont="1" applyBorder="1" applyAlignment="1">
      <alignment horizontal="left" vertical="center" wrapText="1"/>
    </xf>
    <xf numFmtId="4" fontId="0" fillId="0" borderId="144" xfId="119" applyNumberFormat="1" applyFont="1" applyFill="1" applyBorder="1" applyAlignment="1" applyProtection="1">
      <alignment horizontal="right" vertical="center"/>
    </xf>
    <xf numFmtId="0" fontId="0" fillId="0" borderId="74" xfId="2" applyNumberFormat="1" applyFont="1" applyFill="1" applyBorder="1" applyAlignment="1">
      <alignment horizontal="center" vertical="center"/>
    </xf>
    <xf numFmtId="2" fontId="11" fillId="4" borderId="46" xfId="119" applyNumberFormat="1" applyFill="1" applyBorder="1"/>
    <xf numFmtId="0" fontId="0" fillId="0" borderId="108" xfId="2" applyNumberFormat="1" applyFont="1" applyBorder="1" applyAlignment="1">
      <alignment horizontal="center" vertical="center"/>
    </xf>
    <xf numFmtId="0" fontId="0" fillId="0" borderId="112" xfId="2" applyNumberFormat="1" applyFont="1" applyBorder="1" applyAlignment="1">
      <alignment horizontal="left" vertical="center" wrapText="1"/>
    </xf>
    <xf numFmtId="0" fontId="0" fillId="0" borderId="118" xfId="2" applyNumberFormat="1" applyFont="1" applyBorder="1" applyAlignment="1">
      <alignment horizontal="left" vertical="center" wrapText="1"/>
    </xf>
    <xf numFmtId="0" fontId="0" fillId="0" borderId="118" xfId="2" applyNumberFormat="1" applyFont="1" applyBorder="1" applyAlignment="1">
      <alignment horizontal="center" vertical="center" wrapText="1"/>
    </xf>
    <xf numFmtId="0" fontId="0" fillId="0" borderId="113" xfId="2" applyNumberFormat="1" applyFont="1" applyBorder="1" applyAlignment="1">
      <alignment horizontal="left" vertical="center" wrapText="1"/>
    </xf>
    <xf numFmtId="4" fontId="0" fillId="0" borderId="176" xfId="119" applyNumberFormat="1" applyFont="1" applyFill="1" applyBorder="1" applyAlignment="1" applyProtection="1">
      <alignment horizontal="right" vertical="center"/>
    </xf>
    <xf numFmtId="4" fontId="0" fillId="0" borderId="177" xfId="119" applyNumberFormat="1" applyFont="1" applyFill="1" applyBorder="1" applyAlignment="1" applyProtection="1">
      <alignment horizontal="right" vertical="center"/>
    </xf>
    <xf numFmtId="0" fontId="14" fillId="0" borderId="118" xfId="119" applyNumberFormat="1" applyFont="1" applyFill="1" applyBorder="1" applyAlignment="1" applyProtection="1">
      <alignment horizontal="center" vertical="center" wrapText="1"/>
    </xf>
    <xf numFmtId="0" fontId="0" fillId="0" borderId="178" xfId="2" applyNumberFormat="1" applyFont="1" applyBorder="1" applyAlignment="1">
      <alignment horizontal="center" vertical="center"/>
    </xf>
    <xf numFmtId="0" fontId="0" fillId="0" borderId="143" xfId="2" applyNumberFormat="1" applyFont="1" applyBorder="1" applyAlignment="1">
      <alignment horizontal="left" vertical="center" wrapText="1"/>
    </xf>
    <xf numFmtId="0" fontId="0" fillId="0" borderId="143" xfId="2" applyNumberFormat="1" applyFont="1" applyBorder="1" applyAlignment="1">
      <alignment horizontal="center" vertical="center" wrapText="1"/>
    </xf>
    <xf numFmtId="0" fontId="0" fillId="0" borderId="179" xfId="2" applyNumberFormat="1" applyFont="1" applyBorder="1" applyAlignment="1">
      <alignment horizontal="left" vertical="center" wrapText="1"/>
    </xf>
    <xf numFmtId="4" fontId="0" fillId="0" borderId="142" xfId="119" applyNumberFormat="1" applyFont="1" applyFill="1" applyBorder="1" applyAlignment="1" applyProtection="1">
      <alignment horizontal="right" vertical="center"/>
    </xf>
    <xf numFmtId="0" fontId="0" fillId="0" borderId="180" xfId="2" applyNumberFormat="1" applyFont="1" applyFill="1" applyBorder="1" applyAlignment="1">
      <alignment horizontal="left" vertical="center"/>
    </xf>
    <xf numFmtId="0" fontId="14" fillId="0" borderId="70" xfId="119" applyNumberFormat="1" applyFont="1" applyFill="1" applyBorder="1" applyAlignment="1" applyProtection="1">
      <alignment horizontal="center" vertical="center"/>
    </xf>
    <xf numFmtId="0" fontId="0" fillId="0" borderId="73" xfId="2" applyNumberFormat="1" applyFont="1" applyFill="1" applyBorder="1" applyAlignment="1">
      <alignment horizontal="left" vertical="center"/>
    </xf>
    <xf numFmtId="2" fontId="0" fillId="4" borderId="180" xfId="2" applyNumberFormat="1" applyFont="1" applyFill="1" applyBorder="1" applyAlignment="1">
      <alignment horizontal="right" vertical="center"/>
    </xf>
    <xf numFmtId="0" fontId="0" fillId="0" borderId="112" xfId="2" applyNumberFormat="1" applyFont="1" applyBorder="1" applyAlignment="1">
      <alignment horizontal="left" vertical="center"/>
    </xf>
    <xf numFmtId="0" fontId="14" fillId="0" borderId="118" xfId="119" applyNumberFormat="1" applyFont="1" applyFill="1" applyBorder="1" applyAlignment="1" applyProtection="1">
      <alignment horizontal="center" vertical="center"/>
    </xf>
    <xf numFmtId="2" fontId="0" fillId="4" borderId="112" xfId="2" applyNumberFormat="1" applyFont="1" applyFill="1" applyBorder="1" applyAlignment="1">
      <alignment horizontal="right" vertical="center"/>
    </xf>
    <xf numFmtId="0" fontId="0" fillId="0" borderId="175" xfId="2" applyNumberFormat="1" applyFont="1" applyBorder="1" applyAlignment="1">
      <alignment horizontal="left" vertical="center"/>
    </xf>
    <xf numFmtId="0" fontId="0" fillId="0" borderId="143" xfId="2" applyNumberFormat="1" applyFont="1" applyFill="1" applyBorder="1" applyAlignment="1">
      <alignment horizontal="left" vertical="center"/>
    </xf>
    <xf numFmtId="0" fontId="14" fillId="0" borderId="143" xfId="119" applyNumberFormat="1" applyFont="1" applyFill="1" applyBorder="1" applyAlignment="1" applyProtection="1">
      <alignment horizontal="center" vertical="center"/>
    </xf>
    <xf numFmtId="0" fontId="0" fillId="0" borderId="179" xfId="2" applyNumberFormat="1" applyFont="1" applyFill="1" applyBorder="1" applyAlignment="1">
      <alignment horizontal="left" vertical="center"/>
    </xf>
    <xf numFmtId="0" fontId="0" fillId="0" borderId="142" xfId="2" applyNumberFormat="1" applyFont="1" applyBorder="1" applyAlignment="1">
      <alignment horizontal="center" vertical="center"/>
    </xf>
    <xf numFmtId="2" fontId="0" fillId="4" borderId="175" xfId="2" applyNumberFormat="1" applyFont="1" applyFill="1" applyBorder="1" applyAlignment="1">
      <alignment horizontal="right" vertical="center"/>
    </xf>
    <xf numFmtId="0" fontId="14" fillId="4" borderId="14" xfId="0" applyFont="1" applyFill="1" applyBorder="1"/>
    <xf numFmtId="0" fontId="0" fillId="0" borderId="13" xfId="0" applyBorder="1" applyAlignment="1"/>
    <xf numFmtId="0" fontId="0" fillId="0" borderId="12" xfId="0" applyBorder="1" applyAlignment="1"/>
    <xf numFmtId="0" fontId="0" fillId="0" borderId="0" xfId="0" applyAlignment="1"/>
    <xf numFmtId="0" fontId="0" fillId="0" borderId="0" xfId="0" applyAlignment="1">
      <alignment horizontal="center"/>
    </xf>
    <xf numFmtId="0" fontId="12" fillId="25" borderId="19" xfId="2" applyNumberFormat="1" applyFont="1" applyFill="1" applyBorder="1" applyAlignment="1">
      <alignment horizontal="center" vertical="center"/>
    </xf>
    <xf numFmtId="0" fontId="12" fillId="25" borderId="18" xfId="2" applyNumberFormat="1" applyFont="1" applyFill="1" applyBorder="1" applyAlignment="1">
      <alignment horizontal="left" vertical="center"/>
    </xf>
    <xf numFmtId="0" fontId="12" fillId="25" borderId="18" xfId="2" applyNumberFormat="1" applyFont="1" applyFill="1" applyBorder="1" applyAlignment="1">
      <alignment horizontal="center" vertical="center"/>
    </xf>
    <xf numFmtId="0" fontId="0" fillId="25" borderId="18" xfId="2" applyNumberFormat="1" applyFont="1" applyFill="1" applyBorder="1" applyAlignment="1">
      <alignment horizontal="right" vertical="center"/>
    </xf>
    <xf numFmtId="0" fontId="0" fillId="25" borderId="18" xfId="2" applyNumberFormat="1" applyFont="1" applyFill="1" applyBorder="1" applyAlignment="1">
      <alignment horizontal="left" vertical="center"/>
    </xf>
    <xf numFmtId="0" fontId="12" fillId="25" borderId="18" xfId="2" applyNumberFormat="1" applyFont="1" applyFill="1" applyBorder="1" applyAlignment="1">
      <alignment horizontal="right" vertical="center"/>
    </xf>
    <xf numFmtId="0" fontId="12" fillId="25" borderId="128" xfId="2" applyNumberFormat="1" applyFont="1" applyFill="1" applyBorder="1" applyAlignment="1">
      <alignment horizontal="right" vertical="center"/>
    </xf>
    <xf numFmtId="0" fontId="12" fillId="35" borderId="44" xfId="2" applyFont="1" applyFill="1" applyBorder="1" applyAlignment="1">
      <alignment vertical="center"/>
    </xf>
    <xf numFmtId="0" fontId="12" fillId="35" borderId="0" xfId="2" applyFont="1" applyFill="1" applyBorder="1" applyAlignment="1">
      <alignment vertical="center"/>
    </xf>
    <xf numFmtId="0" fontId="12" fillId="35" borderId="0" xfId="2" applyFont="1" applyFill="1" applyBorder="1" applyAlignment="1">
      <alignment horizontal="center" vertical="center"/>
    </xf>
    <xf numFmtId="175" fontId="0" fillId="35" borderId="0" xfId="170" applyNumberFormat="1" applyFont="1" applyFill="1" applyBorder="1" applyAlignment="1" applyProtection="1">
      <alignment horizontal="right" vertical="center"/>
    </xf>
    <xf numFmtId="0" fontId="0" fillId="35" borderId="0" xfId="2" applyFont="1" applyFill="1" applyBorder="1" applyAlignment="1">
      <alignment horizontal="center" vertical="center"/>
    </xf>
    <xf numFmtId="49" fontId="12" fillId="33" borderId="0" xfId="0" applyNumberFormat="1" applyFont="1" applyFill="1" applyBorder="1" applyAlignment="1">
      <alignment horizontal="left"/>
    </xf>
    <xf numFmtId="49" fontId="12" fillId="33" borderId="43" xfId="0" applyNumberFormat="1" applyFont="1" applyFill="1" applyBorder="1" applyAlignment="1">
      <alignment horizontal="center"/>
    </xf>
    <xf numFmtId="0" fontId="12" fillId="33" borderId="0" xfId="0" applyFont="1" applyFill="1" applyBorder="1" applyAlignment="1">
      <alignment horizontal="left"/>
    </xf>
    <xf numFmtId="0" fontId="12" fillId="33" borderId="43" xfId="2" applyNumberFormat="1" applyFont="1" applyFill="1" applyBorder="1" applyAlignment="1">
      <alignment horizontal="center" vertical="center"/>
    </xf>
    <xf numFmtId="0" fontId="42" fillId="33" borderId="44" xfId="2" applyFont="1" applyFill="1" applyBorder="1" applyAlignment="1">
      <alignment horizontal="center" vertical="center"/>
    </xf>
    <xf numFmtId="0" fontId="42" fillId="33" borderId="0" xfId="2" applyFont="1" applyFill="1" applyBorder="1" applyAlignment="1">
      <alignment horizontal="center" vertical="center"/>
    </xf>
    <xf numFmtId="175" fontId="0" fillId="35" borderId="0" xfId="167" applyNumberFormat="1" applyFont="1" applyFill="1" applyBorder="1" applyAlignment="1" applyProtection="1">
      <alignment horizontal="right" vertical="center"/>
    </xf>
    <xf numFmtId="0" fontId="12" fillId="35" borderId="27" xfId="2" applyFont="1" applyFill="1" applyBorder="1" applyAlignment="1">
      <alignment horizontal="left" vertical="center"/>
    </xf>
    <xf numFmtId="0" fontId="0" fillId="33" borderId="26" xfId="0" applyFill="1" applyBorder="1" applyAlignment="1">
      <alignment vertical="center"/>
    </xf>
    <xf numFmtId="175" fontId="0" fillId="33" borderId="26" xfId="119" applyFont="1" applyFill="1" applyBorder="1"/>
    <xf numFmtId="0" fontId="0" fillId="33" borderId="25" xfId="0" applyFill="1" applyBorder="1" applyAlignment="1">
      <alignment vertical="center"/>
    </xf>
    <xf numFmtId="0" fontId="13" fillId="34" borderId="24" xfId="2" applyFont="1" applyFill="1" applyBorder="1" applyAlignment="1">
      <alignment vertical="center"/>
    </xf>
    <xf numFmtId="0" fontId="13" fillId="34" borderId="0" xfId="2" applyFont="1" applyFill="1" applyBorder="1" applyAlignment="1">
      <alignment vertical="center"/>
    </xf>
    <xf numFmtId="0" fontId="13" fillId="34" borderId="0" xfId="2" applyFont="1" applyFill="1" applyBorder="1" applyAlignment="1">
      <alignment horizontal="right" vertical="center"/>
    </xf>
    <xf numFmtId="4" fontId="12" fillId="33" borderId="43" xfId="119" applyNumberFormat="1" applyFont="1" applyFill="1" applyBorder="1" applyAlignment="1">
      <alignment horizontal="right"/>
    </xf>
    <xf numFmtId="0" fontId="13" fillId="34" borderId="27" xfId="2" applyFont="1" applyFill="1" applyBorder="1" applyAlignment="1">
      <alignment vertical="center"/>
    </xf>
    <xf numFmtId="0" fontId="13" fillId="34" borderId="16" xfId="2" applyFont="1" applyFill="1" applyBorder="1" applyAlignment="1">
      <alignment vertical="center"/>
    </xf>
    <xf numFmtId="0" fontId="13" fillId="34" borderId="16" xfId="2" applyFont="1" applyFill="1" applyBorder="1" applyAlignment="1">
      <alignment horizontal="right" vertical="center"/>
    </xf>
    <xf numFmtId="4" fontId="12" fillId="33" borderId="15" xfId="119" applyNumberFormat="1" applyFont="1" applyFill="1" applyBorder="1" applyAlignment="1">
      <alignment horizontal="right"/>
    </xf>
    <xf numFmtId="0" fontId="19" fillId="33" borderId="118" xfId="0" applyFont="1" applyFill="1" applyBorder="1" applyAlignment="1">
      <alignment horizontal="right"/>
    </xf>
    <xf numFmtId="4" fontId="0" fillId="33" borderId="118" xfId="0" applyNumberFormat="1" applyFont="1" applyFill="1" applyBorder="1" applyAlignment="1">
      <alignment horizontal="right"/>
    </xf>
    <xf numFmtId="0" fontId="0" fillId="33" borderId="118" xfId="0" applyFont="1" applyFill="1" applyBorder="1"/>
    <xf numFmtId="0" fontId="0" fillId="33" borderId="20" xfId="0" applyFont="1" applyFill="1" applyBorder="1" applyAlignment="1">
      <alignment horizontal="center"/>
    </xf>
    <xf numFmtId="0" fontId="13" fillId="34" borderId="133" xfId="2" applyFont="1" applyFill="1" applyBorder="1" applyAlignment="1">
      <alignment vertical="center"/>
    </xf>
    <xf numFmtId="0" fontId="13" fillId="34" borderId="79" xfId="2" applyFont="1" applyFill="1" applyBorder="1" applyAlignment="1">
      <alignment vertical="center"/>
    </xf>
    <xf numFmtId="0" fontId="13" fillId="34" borderId="79" xfId="2" applyFont="1" applyFill="1" applyBorder="1" applyAlignment="1">
      <alignment horizontal="right" vertical="center"/>
    </xf>
    <xf numFmtId="4" fontId="13" fillId="34" borderId="134" xfId="2" applyNumberFormat="1" applyFont="1" applyFill="1" applyBorder="1" applyAlignment="1">
      <alignment horizontal="right" vertical="center"/>
    </xf>
    <xf numFmtId="0" fontId="13" fillId="34" borderId="181" xfId="2" applyFont="1" applyFill="1" applyBorder="1" applyAlignment="1">
      <alignment vertical="center"/>
    </xf>
    <xf numFmtId="0" fontId="13" fillId="34" borderId="70" xfId="2" applyFont="1" applyFill="1" applyBorder="1" applyAlignment="1">
      <alignment vertical="center"/>
    </xf>
    <xf numFmtId="0" fontId="13" fillId="34" borderId="70" xfId="2" applyFont="1" applyFill="1" applyBorder="1" applyAlignment="1">
      <alignment horizontal="right" vertical="center"/>
    </xf>
    <xf numFmtId="175" fontId="12" fillId="33" borderId="151" xfId="119" applyFont="1" applyFill="1" applyBorder="1" applyAlignment="1">
      <alignment horizontal="right"/>
    </xf>
    <xf numFmtId="44" fontId="59" fillId="33" borderId="43" xfId="124" applyNumberFormat="1" applyFont="1" applyFill="1" applyBorder="1" applyAlignment="1">
      <alignment horizontal="center"/>
    </xf>
    <xf numFmtId="17" fontId="59" fillId="33" borderId="43" xfId="124" applyNumberFormat="1" applyFont="1" applyFill="1" applyBorder="1" applyAlignment="1">
      <alignment horizontal="center"/>
    </xf>
    <xf numFmtId="0" fontId="59" fillId="33" borderId="25" xfId="124" applyFont="1" applyFill="1" applyBorder="1"/>
    <xf numFmtId="4" fontId="12" fillId="38" borderId="51" xfId="1" applyNumberFormat="1" applyFont="1" applyFill="1" applyBorder="1" applyAlignment="1" applyProtection="1">
      <alignment horizontal="right" vertical="center"/>
    </xf>
    <xf numFmtId="164" fontId="12" fillId="37" borderId="1" xfId="1" applyFont="1" applyFill="1" applyBorder="1" applyAlignment="1" applyProtection="1">
      <alignment horizontal="right" vertical="center"/>
    </xf>
    <xf numFmtId="4" fontId="11" fillId="4" borderId="46" xfId="1" applyNumberFormat="1" applyFont="1" applyFill="1" applyBorder="1" applyAlignment="1" applyProtection="1">
      <alignment horizontal="center" vertical="center"/>
    </xf>
    <xf numFmtId="4" fontId="11" fillId="4" borderId="186" xfId="1" applyNumberFormat="1" applyFont="1" applyFill="1" applyBorder="1" applyAlignment="1">
      <alignment horizontal="center" vertical="center"/>
    </xf>
    <xf numFmtId="0" fontId="0" fillId="4" borderId="22" xfId="2" applyNumberFormat="1" applyFont="1" applyFill="1" applyBorder="1" applyAlignment="1">
      <alignment horizontal="center" vertical="center"/>
    </xf>
    <xf numFmtId="0" fontId="0" fillId="4" borderId="0" xfId="0" applyFill="1" applyBorder="1" applyAlignment="1">
      <alignment horizontal="right"/>
    </xf>
    <xf numFmtId="0" fontId="57" fillId="0" borderId="0" xfId="0" applyFont="1"/>
    <xf numFmtId="0" fontId="60" fillId="0" borderId="0" xfId="0" applyFont="1"/>
    <xf numFmtId="0" fontId="14" fillId="4" borderId="22" xfId="0" applyFont="1" applyFill="1" applyBorder="1" applyAlignment="1">
      <alignment horizontal="right" vertical="center"/>
    </xf>
    <xf numFmtId="0" fontId="14" fillId="4" borderId="118" xfId="0" applyFont="1" applyFill="1" applyBorder="1" applyAlignment="1">
      <alignment horizontal="left" vertical="center"/>
    </xf>
    <xf numFmtId="0" fontId="46" fillId="4" borderId="22" xfId="0" applyFont="1" applyFill="1" applyBorder="1" applyAlignment="1">
      <alignment horizontal="right" vertical="center"/>
    </xf>
    <xf numFmtId="2" fontId="14" fillId="4" borderId="118" xfId="0" applyNumberFormat="1" applyFont="1" applyFill="1" applyBorder="1" applyAlignment="1">
      <alignment horizontal="center" vertical="center"/>
    </xf>
    <xf numFmtId="0" fontId="43" fillId="4" borderId="118" xfId="0" applyFont="1" applyFill="1" applyBorder="1" applyAlignment="1">
      <alignment horizontal="left" vertical="center"/>
    </xf>
    <xf numFmtId="4" fontId="43" fillId="4" borderId="118" xfId="0" applyNumberFormat="1" applyFont="1" applyFill="1" applyBorder="1" applyAlignment="1">
      <alignment horizontal="right" vertical="center"/>
    </xf>
    <xf numFmtId="0" fontId="14" fillId="4" borderId="118" xfId="0" applyFont="1" applyFill="1" applyBorder="1" applyAlignment="1">
      <alignment vertical="center"/>
    </xf>
    <xf numFmtId="0" fontId="14" fillId="4" borderId="20" xfId="0" applyFont="1" applyFill="1" applyBorder="1" applyAlignment="1">
      <alignment horizontal="left" vertical="center"/>
    </xf>
    <xf numFmtId="0" fontId="0" fillId="4" borderId="0" xfId="0" applyFont="1" applyFill="1"/>
    <xf numFmtId="0" fontId="57" fillId="4" borderId="0" xfId="0" applyFont="1" applyFill="1"/>
    <xf numFmtId="0" fontId="47" fillId="4" borderId="0" xfId="0" applyFont="1" applyFill="1"/>
    <xf numFmtId="4" fontId="47" fillId="4" borderId="0" xfId="0" applyNumberFormat="1" applyFont="1" applyFill="1" applyBorder="1" applyAlignment="1">
      <alignment horizontal="right" vertical="center"/>
    </xf>
    <xf numFmtId="0" fontId="20" fillId="4" borderId="0" xfId="0" applyFont="1" applyFill="1"/>
    <xf numFmtId="0" fontId="86" fillId="4" borderId="0" xfId="0" applyFont="1" applyFill="1"/>
    <xf numFmtId="4" fontId="47" fillId="4" borderId="0" xfId="0" applyNumberFormat="1" applyFont="1" applyFill="1" applyBorder="1" applyAlignment="1">
      <alignment vertical="center"/>
    </xf>
    <xf numFmtId="0" fontId="87" fillId="4" borderId="0" xfId="0" applyFont="1" applyFill="1"/>
    <xf numFmtId="4" fontId="47" fillId="4" borderId="0" xfId="0" applyNumberFormat="1" applyFont="1" applyFill="1"/>
    <xf numFmtId="0" fontId="47" fillId="4" borderId="0" xfId="0" applyFont="1" applyFill="1" applyBorder="1" applyAlignment="1">
      <alignment horizontal="left" vertical="center"/>
    </xf>
    <xf numFmtId="0" fontId="47" fillId="4" borderId="0" xfId="0" applyFont="1" applyFill="1" applyBorder="1" applyAlignment="1">
      <alignment vertical="center"/>
    </xf>
    <xf numFmtId="0" fontId="20" fillId="4" borderId="0" xfId="0" applyFont="1" applyFill="1" applyBorder="1"/>
    <xf numFmtId="0" fontId="47" fillId="4" borderId="0" xfId="0" applyFont="1" applyFill="1" applyBorder="1"/>
    <xf numFmtId="0" fontId="0" fillId="4" borderId="46" xfId="2" applyNumberFormat="1" applyFont="1" applyFill="1" applyBorder="1" applyAlignment="1">
      <alignment horizontal="center" vertical="center"/>
    </xf>
    <xf numFmtId="0" fontId="11" fillId="4" borderId="13" xfId="2" applyNumberFormat="1" applyFont="1" applyFill="1" applyBorder="1" applyAlignment="1">
      <alignment horizontal="left" vertical="center"/>
    </xf>
    <xf numFmtId="2" fontId="11" fillId="4" borderId="13" xfId="2" applyNumberFormat="1" applyFont="1" applyFill="1" applyBorder="1" applyAlignment="1">
      <alignment horizontal="center" vertical="center"/>
    </xf>
    <xf numFmtId="0" fontId="11" fillId="4" borderId="118" xfId="2" applyNumberFormat="1" applyFont="1" applyFill="1" applyBorder="1" applyAlignment="1">
      <alignment horizontal="center" vertical="center"/>
    </xf>
    <xf numFmtId="0" fontId="43" fillId="4" borderId="22" xfId="0" applyFont="1" applyFill="1" applyBorder="1"/>
    <xf numFmtId="0" fontId="43" fillId="4" borderId="118" xfId="0" applyFont="1" applyFill="1" applyBorder="1"/>
    <xf numFmtId="0" fontId="49" fillId="4" borderId="118" xfId="0" applyFont="1" applyFill="1" applyBorder="1" applyAlignment="1">
      <alignment horizontal="right"/>
    </xf>
    <xf numFmtId="0" fontId="14" fillId="4" borderId="118" xfId="0" applyFont="1" applyFill="1" applyBorder="1"/>
    <xf numFmtId="0" fontId="49" fillId="33" borderId="118" xfId="0" applyFont="1" applyFill="1" applyBorder="1" applyAlignment="1">
      <alignment horizontal="right"/>
    </xf>
    <xf numFmtId="4" fontId="14" fillId="33" borderId="118" xfId="0" applyNumberFormat="1" applyFont="1" applyFill="1" applyBorder="1" applyAlignment="1">
      <alignment horizontal="right"/>
    </xf>
    <xf numFmtId="0" fontId="14" fillId="33" borderId="118" xfId="0" applyFont="1" applyFill="1" applyBorder="1"/>
    <xf numFmtId="0" fontId="14" fillId="33" borderId="20" xfId="0" applyFont="1" applyFill="1" applyBorder="1" applyAlignment="1">
      <alignment horizontal="center"/>
    </xf>
    <xf numFmtId="0" fontId="12" fillId="33" borderId="22" xfId="0" applyFont="1" applyFill="1" applyBorder="1" applyAlignment="1">
      <alignment horizontal="right"/>
    </xf>
    <xf numFmtId="0" fontId="0" fillId="6" borderId="22" xfId="2" applyNumberFormat="1" applyFont="1" applyFill="1" applyBorder="1" applyAlignment="1">
      <alignment horizontal="center" vertical="center"/>
    </xf>
    <xf numFmtId="0" fontId="12" fillId="4" borderId="13" xfId="2" applyNumberFormat="1" applyFont="1" applyFill="1" applyBorder="1" applyAlignment="1">
      <alignment horizontal="left" vertical="center"/>
    </xf>
    <xf numFmtId="2" fontId="12" fillId="4" borderId="13" xfId="2" applyNumberFormat="1" applyFont="1" applyFill="1" applyBorder="1" applyAlignment="1">
      <alignment horizontal="center" vertical="center"/>
    </xf>
    <xf numFmtId="0" fontId="12" fillId="4" borderId="21" xfId="2" applyNumberFormat="1" applyFont="1" applyFill="1" applyBorder="1" applyAlignment="1">
      <alignment horizontal="left" vertical="center"/>
    </xf>
    <xf numFmtId="2" fontId="12" fillId="4" borderId="21" xfId="2" applyNumberFormat="1" applyFont="1" applyFill="1" applyBorder="1" applyAlignment="1">
      <alignment horizontal="center" vertical="center"/>
    </xf>
    <xf numFmtId="0" fontId="12" fillId="33" borderId="22" xfId="0" applyFont="1" applyFill="1" applyBorder="1" applyAlignment="1">
      <alignment horizontal="right" vertical="center"/>
    </xf>
    <xf numFmtId="0" fontId="19" fillId="33" borderId="118" xfId="0" applyFont="1" applyFill="1" applyBorder="1" applyAlignment="1">
      <alignment horizontal="right" vertical="center"/>
    </xf>
    <xf numFmtId="0" fontId="49" fillId="4" borderId="118" xfId="0" applyFont="1" applyFill="1" applyBorder="1" applyAlignment="1">
      <alignment horizontal="right" vertical="center"/>
    </xf>
    <xf numFmtId="4" fontId="14" fillId="4" borderId="118" xfId="0" applyNumberFormat="1" applyFont="1" applyFill="1" applyBorder="1" applyAlignment="1">
      <alignment horizontal="right" vertical="center"/>
    </xf>
    <xf numFmtId="0" fontId="49" fillId="4" borderId="118" xfId="0" applyFont="1" applyFill="1" applyBorder="1" applyAlignment="1">
      <alignment horizontal="center" vertical="center"/>
    </xf>
    <xf numFmtId="0" fontId="14" fillId="4" borderId="118" xfId="0" applyFont="1" applyFill="1" applyBorder="1" applyAlignment="1">
      <alignment horizontal="center" vertical="center"/>
    </xf>
    <xf numFmtId="4" fontId="49" fillId="4" borderId="118" xfId="0" applyNumberFormat="1" applyFont="1" applyFill="1" applyBorder="1" applyAlignment="1">
      <alignment horizontal="right" vertical="center"/>
    </xf>
    <xf numFmtId="0" fontId="14" fillId="4" borderId="22" xfId="0" applyFont="1" applyFill="1" applyBorder="1" applyAlignment="1">
      <alignment vertical="center"/>
    </xf>
    <xf numFmtId="2" fontId="49" fillId="4" borderId="118" xfId="0" applyNumberFormat="1" applyFont="1" applyFill="1" applyBorder="1" applyAlignment="1">
      <alignment horizontal="center" vertical="center"/>
    </xf>
    <xf numFmtId="0" fontId="43" fillId="4" borderId="118" xfId="0" applyFont="1" applyFill="1" applyBorder="1" applyAlignment="1">
      <alignment vertical="center"/>
    </xf>
    <xf numFmtId="0" fontId="19" fillId="33" borderId="20" xfId="0" applyFont="1" applyFill="1" applyBorder="1" applyAlignment="1">
      <alignment horizontal="right" vertical="center"/>
    </xf>
    <xf numFmtId="0" fontId="49" fillId="4" borderId="20" xfId="0" applyFont="1" applyFill="1" applyBorder="1" applyAlignment="1">
      <alignment horizontal="right" vertical="center"/>
    </xf>
    <xf numFmtId="4" fontId="0" fillId="33" borderId="118" xfId="0" applyNumberFormat="1" applyFont="1" applyFill="1" applyBorder="1" applyAlignment="1">
      <alignment horizontal="right" vertical="center"/>
    </xf>
    <xf numFmtId="0" fontId="0" fillId="33" borderId="118" xfId="0" applyFont="1" applyFill="1" applyBorder="1" applyAlignment="1">
      <alignment vertical="center"/>
    </xf>
    <xf numFmtId="0" fontId="12" fillId="33" borderId="118" xfId="0" applyFont="1" applyFill="1" applyBorder="1"/>
    <xf numFmtId="0" fontId="12" fillId="33" borderId="118" xfId="0" applyFont="1" applyFill="1" applyBorder="1" applyAlignment="1">
      <alignment vertical="center"/>
    </xf>
    <xf numFmtId="0" fontId="44" fillId="4" borderId="22" xfId="0" applyFont="1" applyFill="1" applyBorder="1" applyAlignment="1">
      <alignment horizontal="right"/>
    </xf>
    <xf numFmtId="0" fontId="44" fillId="4" borderId="118" xfId="0" applyFont="1" applyFill="1" applyBorder="1"/>
    <xf numFmtId="0" fontId="0" fillId="4" borderId="118" xfId="0" applyFont="1" applyFill="1" applyBorder="1"/>
    <xf numFmtId="4" fontId="45" fillId="4" borderId="118" xfId="0" applyNumberFormat="1" applyFont="1" applyFill="1" applyBorder="1" applyAlignment="1">
      <alignment horizontal="right"/>
    </xf>
    <xf numFmtId="0" fontId="44" fillId="4" borderId="20" xfId="0" applyFont="1" applyFill="1" applyBorder="1" applyAlignment="1">
      <alignment horizontal="center"/>
    </xf>
    <xf numFmtId="0" fontId="14" fillId="4" borderId="118" xfId="0" applyFont="1" applyFill="1" applyBorder="1" applyAlignment="1"/>
    <xf numFmtId="0" fontId="0" fillId="4" borderId="118" xfId="0" applyFill="1" applyBorder="1" applyAlignment="1">
      <alignment horizontal="left"/>
    </xf>
    <xf numFmtId="4" fontId="46" fillId="4" borderId="118" xfId="0" applyNumberFormat="1" applyFont="1" applyFill="1" applyBorder="1" applyAlignment="1">
      <alignment horizontal="right"/>
    </xf>
    <xf numFmtId="0" fontId="46" fillId="4" borderId="118" xfId="0" applyFont="1" applyFill="1" applyBorder="1"/>
    <xf numFmtId="0" fontId="46" fillId="4" borderId="20" xfId="0" applyFont="1" applyFill="1" applyBorder="1" applyAlignment="1">
      <alignment horizontal="center"/>
    </xf>
    <xf numFmtId="0" fontId="14" fillId="4" borderId="118" xfId="0" applyFont="1" applyFill="1" applyBorder="1" applyAlignment="1">
      <alignment horizontal="center"/>
    </xf>
    <xf numFmtId="2" fontId="14" fillId="4" borderId="118" xfId="0" applyNumberFormat="1" applyFont="1" applyFill="1" applyBorder="1" applyAlignment="1">
      <alignment horizontal="center"/>
    </xf>
    <xf numFmtId="3" fontId="14" fillId="4" borderId="118" xfId="0" applyNumberFormat="1" applyFont="1" applyFill="1" applyBorder="1" applyAlignment="1">
      <alignment horizontal="right"/>
    </xf>
    <xf numFmtId="0" fontId="43" fillId="4" borderId="118" xfId="0" applyFont="1" applyFill="1" applyBorder="1" applyAlignment="1"/>
    <xf numFmtId="4" fontId="14" fillId="4" borderId="118" xfId="0" applyNumberFormat="1" applyFont="1" applyFill="1" applyBorder="1"/>
    <xf numFmtId="169" fontId="14" fillId="4" borderId="118" xfId="0" applyNumberFormat="1" applyFont="1" applyFill="1" applyBorder="1"/>
    <xf numFmtId="4" fontId="43" fillId="4" borderId="118" xfId="1" applyNumberFormat="1" applyFont="1" applyFill="1" applyBorder="1" applyAlignment="1">
      <alignment horizontal="right"/>
    </xf>
    <xf numFmtId="0" fontId="46" fillId="4" borderId="118" xfId="0" applyFont="1" applyFill="1" applyBorder="1" applyAlignment="1">
      <alignment horizontal="right"/>
    </xf>
    <xf numFmtId="4" fontId="49" fillId="4" borderId="118" xfId="0" applyNumberFormat="1" applyFont="1" applyFill="1" applyBorder="1" applyAlignment="1">
      <alignment horizontal="center"/>
    </xf>
    <xf numFmtId="2" fontId="49" fillId="4" borderId="118" xfId="0" applyNumberFormat="1" applyFont="1" applyFill="1" applyBorder="1" applyAlignment="1">
      <alignment horizontal="center"/>
    </xf>
    <xf numFmtId="0" fontId="60" fillId="4" borderId="118" xfId="0" applyFont="1" applyFill="1" applyBorder="1" applyAlignment="1">
      <alignment horizontal="left"/>
    </xf>
    <xf numFmtId="0" fontId="49" fillId="4" borderId="118" xfId="0" applyFont="1" applyFill="1" applyBorder="1"/>
    <xf numFmtId="4" fontId="0" fillId="4" borderId="118" xfId="0" applyNumberFormat="1" applyFont="1" applyFill="1" applyBorder="1" applyAlignment="1">
      <alignment horizontal="right"/>
    </xf>
    <xf numFmtId="4" fontId="14" fillId="4" borderId="118" xfId="1" applyNumberFormat="1" applyFont="1" applyFill="1" applyBorder="1" applyAlignment="1">
      <alignment horizontal="right"/>
    </xf>
    <xf numFmtId="0" fontId="55" fillId="4" borderId="20" xfId="0" applyFont="1" applyFill="1" applyBorder="1" applyAlignment="1">
      <alignment horizontal="center"/>
    </xf>
    <xf numFmtId="4" fontId="14" fillId="4" borderId="20" xfId="0" applyNumberFormat="1" applyFont="1" applyFill="1" applyBorder="1" applyAlignment="1">
      <alignment horizontal="right"/>
    </xf>
    <xf numFmtId="4" fontId="43" fillId="4" borderId="20" xfId="0" applyNumberFormat="1" applyFont="1" applyFill="1" applyBorder="1" applyAlignment="1">
      <alignment horizontal="right"/>
    </xf>
    <xf numFmtId="0" fontId="0" fillId="4" borderId="22" xfId="0" applyFont="1" applyFill="1" applyBorder="1"/>
    <xf numFmtId="0" fontId="12" fillId="4" borderId="118" xfId="0" applyFont="1" applyFill="1" applyBorder="1"/>
    <xf numFmtId="0" fontId="0" fillId="4" borderId="20" xfId="0" applyFont="1" applyFill="1" applyBorder="1" applyAlignment="1">
      <alignment horizontal="center"/>
    </xf>
    <xf numFmtId="0" fontId="56" fillId="4" borderId="118" xfId="0" applyFont="1" applyFill="1" applyBorder="1" applyAlignment="1">
      <alignment horizontal="center"/>
    </xf>
    <xf numFmtId="0" fontId="14" fillId="4" borderId="20" xfId="0" applyFont="1" applyFill="1" applyBorder="1"/>
    <xf numFmtId="0" fontId="14" fillId="4" borderId="118" xfId="2" applyNumberFormat="1" applyFont="1" applyFill="1" applyBorder="1" applyAlignment="1">
      <alignment horizontal="left"/>
    </xf>
    <xf numFmtId="0" fontId="43" fillId="4" borderId="22" xfId="0" applyFont="1" applyFill="1" applyBorder="1" applyAlignment="1"/>
    <xf numFmtId="0" fontId="49" fillId="4" borderId="118" xfId="0" applyFont="1" applyFill="1" applyBorder="1" applyAlignment="1">
      <alignment horizontal="center"/>
    </xf>
    <xf numFmtId="0" fontId="60" fillId="4" borderId="118" xfId="0" applyFont="1" applyFill="1" applyBorder="1" applyAlignment="1">
      <alignment horizontal="right"/>
    </xf>
    <xf numFmtId="1" fontId="49" fillId="4" borderId="118" xfId="0" applyNumberFormat="1" applyFont="1" applyFill="1" applyBorder="1" applyAlignment="1">
      <alignment horizontal="right"/>
    </xf>
    <xf numFmtId="1" fontId="60" fillId="4" borderId="118" xfId="0" applyNumberFormat="1" applyFont="1" applyFill="1" applyBorder="1" applyAlignment="1">
      <alignment horizontal="right"/>
    </xf>
    <xf numFmtId="4" fontId="14" fillId="4" borderId="118" xfId="0" applyNumberFormat="1" applyFont="1" applyFill="1" applyBorder="1" applyAlignment="1">
      <alignment horizontal="center"/>
    </xf>
    <xf numFmtId="0" fontId="0" fillId="4" borderId="118" xfId="0" applyFill="1" applyBorder="1" applyAlignment="1">
      <alignment horizontal="center"/>
    </xf>
    <xf numFmtId="0" fontId="0" fillId="4" borderId="118" xfId="0" applyFont="1" applyFill="1" applyBorder="1" applyAlignment="1">
      <alignment horizontal="center"/>
    </xf>
    <xf numFmtId="2" fontId="49" fillId="4" borderId="118" xfId="0" applyNumberFormat="1" applyFont="1" applyFill="1" applyBorder="1" applyAlignment="1">
      <alignment horizontal="right"/>
    </xf>
    <xf numFmtId="0" fontId="46" fillId="4" borderId="118" xfId="0" applyFont="1" applyFill="1" applyBorder="1" applyAlignment="1">
      <alignment horizontal="center"/>
    </xf>
    <xf numFmtId="0" fontId="43" fillId="33" borderId="123" xfId="0" applyFont="1" applyFill="1" applyBorder="1"/>
    <xf numFmtId="0" fontId="14" fillId="33" borderId="124" xfId="0" applyFont="1" applyFill="1" applyBorder="1"/>
    <xf numFmtId="0" fontId="49" fillId="33" borderId="124" xfId="0" applyFont="1" applyFill="1" applyBorder="1" applyAlignment="1">
      <alignment horizontal="right"/>
    </xf>
    <xf numFmtId="4" fontId="43" fillId="33" borderId="124" xfId="0" applyNumberFormat="1" applyFont="1" applyFill="1" applyBorder="1" applyAlignment="1">
      <alignment horizontal="right"/>
    </xf>
    <xf numFmtId="0" fontId="43" fillId="33" borderId="124" xfId="0" applyFont="1" applyFill="1" applyBorder="1" applyAlignment="1">
      <alignment horizontal="left"/>
    </xf>
    <xf numFmtId="0" fontId="14" fillId="33" borderId="125" xfId="0" applyFont="1" applyFill="1" applyBorder="1" applyAlignment="1">
      <alignment horizontal="center"/>
    </xf>
    <xf numFmtId="0" fontId="45" fillId="4" borderId="118" xfId="0" applyFont="1" applyFill="1" applyBorder="1"/>
    <xf numFmtId="0" fontId="45" fillId="4" borderId="22" xfId="0" applyFont="1" applyFill="1" applyBorder="1" applyAlignment="1">
      <alignment horizontal="right"/>
    </xf>
    <xf numFmtId="4" fontId="46" fillId="4" borderId="118" xfId="0" applyNumberFormat="1" applyFont="1" applyFill="1" applyBorder="1" applyAlignment="1">
      <alignment horizontal="right" vertical="center"/>
    </xf>
    <xf numFmtId="44" fontId="59" fillId="33" borderId="12" xfId="124" applyNumberFormat="1" applyFont="1" applyFill="1" applyBorder="1"/>
    <xf numFmtId="4" fontId="2" fillId="0" borderId="0" xfId="124" applyNumberFormat="1" applyFont="1"/>
    <xf numFmtId="9" fontId="20" fillId="39" borderId="89" xfId="73" applyNumberFormat="1" applyFont="1" applyFill="1" applyBorder="1" applyAlignment="1">
      <alignment horizontal="center" vertical="center"/>
    </xf>
    <xf numFmtId="0" fontId="11" fillId="39" borderId="66" xfId="73" applyFont="1" applyFill="1" applyBorder="1" applyAlignment="1">
      <alignment vertical="center"/>
    </xf>
    <xf numFmtId="9" fontId="20" fillId="39" borderId="66" xfId="73" applyNumberFormat="1" applyFont="1" applyFill="1" applyBorder="1" applyAlignment="1">
      <alignment horizontal="center" vertical="center"/>
    </xf>
    <xf numFmtId="0" fontId="42" fillId="32" borderId="27" xfId="124" applyFont="1" applyFill="1" applyBorder="1" applyAlignment="1">
      <alignment vertical="center"/>
    </xf>
    <xf numFmtId="4" fontId="14" fillId="0" borderId="0" xfId="0" applyNumberFormat="1" applyFont="1"/>
    <xf numFmtId="0" fontId="0" fillId="0" borderId="118" xfId="0" applyFont="1" applyBorder="1"/>
    <xf numFmtId="0" fontId="14" fillId="0" borderId="118" xfId="0" applyFont="1" applyBorder="1"/>
    <xf numFmtId="2" fontId="14" fillId="0" borderId="0" xfId="0" applyNumberFormat="1" applyFont="1"/>
    <xf numFmtId="0" fontId="88" fillId="0" borderId="0" xfId="0" applyFont="1"/>
    <xf numFmtId="0" fontId="42" fillId="33" borderId="0" xfId="2" applyFont="1" applyFill="1" applyBorder="1" applyAlignment="1">
      <alignment horizontal="center" vertical="center"/>
    </xf>
    <xf numFmtId="0" fontId="42" fillId="33" borderId="43" xfId="2" applyFont="1" applyFill="1" applyBorder="1" applyAlignment="1">
      <alignment horizontal="center" vertical="center"/>
    </xf>
    <xf numFmtId="9" fontId="20" fillId="39" borderId="118" xfId="73" applyNumberFormat="1" applyFont="1" applyFill="1" applyBorder="1" applyAlignment="1">
      <alignment horizontal="center" vertical="center"/>
    </xf>
    <xf numFmtId="9" fontId="20" fillId="4" borderId="118" xfId="73" applyNumberFormat="1" applyFont="1" applyFill="1" applyBorder="1" applyAlignment="1">
      <alignment horizontal="center" vertical="center"/>
    </xf>
    <xf numFmtId="10" fontId="59" fillId="0" borderId="12" xfId="124" applyNumberFormat="1" applyFont="1" applyBorder="1" applyAlignment="1">
      <alignment vertical="center"/>
    </xf>
    <xf numFmtId="10" fontId="59" fillId="0" borderId="95" xfId="124" applyNumberFormat="1" applyFont="1" applyBorder="1" applyAlignment="1">
      <alignment vertical="center"/>
    </xf>
    <xf numFmtId="0" fontId="11" fillId="26" borderId="189" xfId="3" applyNumberFormat="1" applyFont="1" applyFill="1" applyBorder="1" applyAlignment="1" applyProtection="1">
      <alignment horizontal="left" vertical="center"/>
    </xf>
    <xf numFmtId="0" fontId="12" fillId="26" borderId="16" xfId="3" applyNumberFormat="1" applyFont="1" applyFill="1" applyBorder="1" applyAlignment="1" applyProtection="1">
      <alignment horizontal="left" vertical="center"/>
    </xf>
    <xf numFmtId="0" fontId="12" fillId="26" borderId="189" xfId="3" applyNumberFormat="1" applyFont="1" applyFill="1" applyBorder="1" applyAlignment="1" applyProtection="1">
      <alignment horizontal="left" vertical="center"/>
    </xf>
    <xf numFmtId="0" fontId="13" fillId="24" borderId="16" xfId="3" applyNumberFormat="1" applyFont="1" applyFill="1" applyBorder="1" applyAlignment="1" applyProtection="1">
      <alignment horizontal="left" vertical="center"/>
    </xf>
    <xf numFmtId="0" fontId="13" fillId="24" borderId="189" xfId="3" applyNumberFormat="1" applyFont="1" applyFill="1" applyBorder="1" applyAlignment="1" applyProtection="1">
      <alignment horizontal="left" vertical="center"/>
    </xf>
    <xf numFmtId="10" fontId="12" fillId="25" borderId="50" xfId="1" applyNumberFormat="1" applyFont="1" applyFill="1" applyBorder="1" applyAlignment="1" applyProtection="1">
      <alignment horizontal="right" vertical="center"/>
    </xf>
    <xf numFmtId="10" fontId="12" fillId="38" borderId="51" xfId="1" applyNumberFormat="1" applyFont="1" applyFill="1" applyBorder="1" applyAlignment="1" applyProtection="1">
      <alignment horizontal="right" vertical="center"/>
    </xf>
    <xf numFmtId="4" fontId="88" fillId="0" borderId="0" xfId="0" applyNumberFormat="1" applyFont="1"/>
    <xf numFmtId="0" fontId="12" fillId="35" borderId="44" xfId="2" applyFont="1" applyFill="1" applyBorder="1" applyAlignment="1">
      <alignment horizontal="left" vertical="center"/>
    </xf>
    <xf numFmtId="0" fontId="0" fillId="33" borderId="0" xfId="0" applyFill="1" applyBorder="1" applyAlignment="1">
      <alignment vertical="center"/>
    </xf>
    <xf numFmtId="4" fontId="0" fillId="0" borderId="10" xfId="1" applyNumberFormat="1" applyFont="1" applyFill="1" applyBorder="1" applyAlignment="1" applyProtection="1">
      <alignment horizontal="right" vertical="center"/>
    </xf>
    <xf numFmtId="0" fontId="0" fillId="4" borderId="0" xfId="0" applyFill="1"/>
    <xf numFmtId="0" fontId="0" fillId="4" borderId="0" xfId="0" applyFill="1" applyAlignment="1">
      <alignment horizontal="center"/>
    </xf>
    <xf numFmtId="0" fontId="43" fillId="23" borderId="38" xfId="0" applyFont="1" applyFill="1" applyBorder="1"/>
    <xf numFmtId="0" fontId="43" fillId="23" borderId="37" xfId="0" applyFont="1" applyFill="1" applyBorder="1" applyAlignment="1">
      <alignment horizontal="center"/>
    </xf>
    <xf numFmtId="0" fontId="43" fillId="23" borderId="111" xfId="0" applyFont="1" applyFill="1" applyBorder="1" applyAlignment="1"/>
    <xf numFmtId="0" fontId="43" fillId="23" borderId="36" xfId="0" applyFont="1" applyFill="1" applyBorder="1" applyAlignment="1">
      <alignment horizontal="center"/>
    </xf>
    <xf numFmtId="0" fontId="43" fillId="23" borderId="34" xfId="0" applyFont="1" applyFill="1" applyBorder="1"/>
    <xf numFmtId="0" fontId="43" fillId="23" borderId="100" xfId="0" applyFont="1" applyFill="1" applyBorder="1" applyAlignment="1">
      <alignment horizontal="center"/>
    </xf>
    <xf numFmtId="0" fontId="43" fillId="23" borderId="103" xfId="0" applyFont="1" applyFill="1" applyBorder="1" applyAlignment="1">
      <alignment horizontal="center"/>
    </xf>
    <xf numFmtId="2" fontId="14" fillId="4" borderId="190" xfId="0" applyNumberFormat="1" applyFont="1" applyFill="1" applyBorder="1" applyAlignment="1">
      <alignment horizontal="center"/>
    </xf>
    <xf numFmtId="179" fontId="14" fillId="4" borderId="102" xfId="0" applyNumberFormat="1" applyFont="1" applyFill="1" applyBorder="1" applyAlignment="1">
      <alignment horizontal="center"/>
    </xf>
    <xf numFmtId="2" fontId="14" fillId="4" borderId="191" xfId="0" applyNumberFormat="1" applyFont="1" applyFill="1" applyBorder="1" applyAlignment="1">
      <alignment horizontal="center"/>
    </xf>
    <xf numFmtId="2" fontId="14" fillId="4" borderId="43" xfId="0" applyNumberFormat="1" applyFont="1" applyFill="1" applyBorder="1" applyAlignment="1">
      <alignment horizontal="center"/>
    </xf>
    <xf numFmtId="0" fontId="14" fillId="4" borderId="7" xfId="0" applyFont="1" applyFill="1" applyBorder="1"/>
    <xf numFmtId="0" fontId="14" fillId="4" borderId="6" xfId="0" applyFont="1" applyFill="1" applyBorder="1" applyAlignment="1">
      <alignment horizontal="center"/>
    </xf>
    <xf numFmtId="0" fontId="43" fillId="4" borderId="6" xfId="0" applyFont="1" applyFill="1" applyBorder="1" applyAlignment="1">
      <alignment horizontal="center"/>
    </xf>
    <xf numFmtId="2" fontId="43" fillId="4" borderId="5" xfId="0" applyNumberFormat="1" applyFont="1" applyFill="1" applyBorder="1" applyAlignment="1">
      <alignment horizontal="center"/>
    </xf>
    <xf numFmtId="0" fontId="43" fillId="23" borderId="190" xfId="0" applyFont="1" applyFill="1" applyBorder="1" applyAlignment="1">
      <alignment horizontal="center"/>
    </xf>
    <xf numFmtId="0" fontId="43" fillId="23" borderId="98" xfId="0" applyFont="1" applyFill="1" applyBorder="1" applyAlignment="1">
      <alignment horizontal="center"/>
    </xf>
    <xf numFmtId="0" fontId="14" fillId="4" borderId="0" xfId="0" applyFont="1" applyFill="1" applyBorder="1" applyAlignment="1">
      <alignment horizontal="center"/>
    </xf>
    <xf numFmtId="0" fontId="14" fillId="4" borderId="191" xfId="0" applyFont="1" applyFill="1" applyBorder="1" applyAlignment="1">
      <alignment horizontal="center"/>
    </xf>
    <xf numFmtId="4" fontId="14" fillId="4" borderId="191" xfId="0" applyNumberFormat="1" applyFont="1" applyFill="1" applyBorder="1" applyAlignment="1">
      <alignment horizontal="center"/>
    </xf>
    <xf numFmtId="4" fontId="14" fillId="4" borderId="43" xfId="0" applyNumberFormat="1" applyFont="1" applyFill="1" applyBorder="1" applyAlignment="1">
      <alignment horizontal="center"/>
    </xf>
    <xf numFmtId="0" fontId="14" fillId="4" borderId="98" xfId="0" applyFont="1" applyFill="1" applyBorder="1" applyAlignment="1">
      <alignment horizontal="center"/>
    </xf>
    <xf numFmtId="4" fontId="14" fillId="4" borderId="98" xfId="0" applyNumberFormat="1" applyFont="1" applyFill="1" applyBorder="1" applyAlignment="1">
      <alignment horizontal="center"/>
    </xf>
    <xf numFmtId="4" fontId="43" fillId="4" borderId="5" xfId="0" applyNumberFormat="1" applyFont="1" applyFill="1" applyBorder="1" applyAlignment="1">
      <alignment horizontal="center"/>
    </xf>
    <xf numFmtId="0" fontId="43" fillId="4" borderId="6" xfId="0" applyFont="1" applyFill="1" applyBorder="1" applyAlignment="1">
      <alignment horizontal="left"/>
    </xf>
    <xf numFmtId="179" fontId="14" fillId="4" borderId="191" xfId="0" applyNumberFormat="1" applyFont="1" applyFill="1" applyBorder="1" applyAlignment="1">
      <alignment horizontal="center"/>
    </xf>
    <xf numFmtId="2" fontId="14" fillId="4" borderId="98" xfId="0" applyNumberFormat="1" applyFont="1" applyFill="1" applyBorder="1" applyAlignment="1">
      <alignment horizontal="center"/>
    </xf>
    <xf numFmtId="0" fontId="43" fillId="23" borderId="4" xfId="0" applyFont="1" applyFill="1" applyBorder="1"/>
    <xf numFmtId="0" fontId="43" fillId="23" borderId="3" xfId="0" applyFont="1" applyFill="1" applyBorder="1" applyAlignment="1">
      <alignment horizontal="center"/>
    </xf>
    <xf numFmtId="2" fontId="43" fillId="23" borderId="85" xfId="0" applyNumberFormat="1" applyFont="1" applyFill="1" applyBorder="1" applyAlignment="1">
      <alignment horizontal="center"/>
    </xf>
    <xf numFmtId="0" fontId="89" fillId="33" borderId="44" xfId="0" applyFont="1" applyFill="1" applyBorder="1"/>
    <xf numFmtId="0" fontId="0" fillId="33" borderId="0" xfId="0" applyFill="1" applyBorder="1" applyAlignment="1">
      <alignment horizontal="center"/>
    </xf>
    <xf numFmtId="0" fontId="12" fillId="33" borderId="43" xfId="0" applyFont="1" applyFill="1" applyBorder="1" applyAlignment="1">
      <alignment horizontal="center"/>
    </xf>
    <xf numFmtId="0" fontId="12" fillId="33" borderId="0" xfId="0" applyFont="1" applyFill="1" applyBorder="1" applyAlignment="1">
      <alignment horizontal="center"/>
    </xf>
    <xf numFmtId="0" fontId="89" fillId="33" borderId="44" xfId="0" applyFont="1" applyFill="1" applyBorder="1" applyAlignment="1">
      <alignment horizontal="center"/>
    </xf>
    <xf numFmtId="0" fontId="89" fillId="33" borderId="0" xfId="0" applyFont="1" applyFill="1" applyBorder="1" applyAlignment="1">
      <alignment horizontal="center"/>
    </xf>
    <xf numFmtId="0" fontId="89" fillId="33" borderId="43" xfId="0" applyFont="1" applyFill="1" applyBorder="1" applyAlignment="1">
      <alignment horizontal="center"/>
    </xf>
    <xf numFmtId="0" fontId="16" fillId="35" borderId="0" xfId="2" applyFont="1" applyFill="1" applyBorder="1" applyAlignment="1">
      <alignment horizontal="center" vertical="center"/>
    </xf>
    <xf numFmtId="175" fontId="16" fillId="35" borderId="0" xfId="167" applyNumberFormat="1" applyFont="1" applyFill="1" applyBorder="1" applyAlignment="1" applyProtection="1">
      <alignment horizontal="right" vertical="center"/>
    </xf>
    <xf numFmtId="175" fontId="16" fillId="35" borderId="0" xfId="170" applyNumberFormat="1" applyFont="1" applyFill="1" applyBorder="1" applyAlignment="1" applyProtection="1">
      <alignment horizontal="right" vertical="center"/>
    </xf>
    <xf numFmtId="0" fontId="16" fillId="35" borderId="0" xfId="2" applyFont="1" applyFill="1" applyBorder="1" applyAlignment="1">
      <alignment horizontal="right" vertical="center"/>
    </xf>
    <xf numFmtId="0" fontId="0" fillId="0" borderId="26" xfId="0" applyBorder="1" applyAlignment="1">
      <alignment horizontal="center"/>
    </xf>
    <xf numFmtId="0" fontId="0" fillId="0" borderId="25" xfId="0" applyBorder="1" applyAlignment="1">
      <alignment horizontal="center"/>
    </xf>
    <xf numFmtId="0" fontId="0" fillId="0" borderId="27" xfId="2" applyNumberFormat="1" applyFont="1" applyFill="1" applyBorder="1" applyAlignment="1">
      <alignment horizontal="left" vertical="center"/>
    </xf>
    <xf numFmtId="2" fontId="0" fillId="0" borderId="25" xfId="0" applyNumberFormat="1" applyBorder="1" applyAlignment="1">
      <alignment horizontal="right"/>
    </xf>
    <xf numFmtId="49" fontId="42" fillId="32" borderId="25" xfId="124" applyNumberFormat="1" applyFont="1" applyFill="1" applyBorder="1" applyAlignment="1">
      <alignment horizontal="right" vertical="center"/>
    </xf>
    <xf numFmtId="17" fontId="12" fillId="33" borderId="0" xfId="2" applyNumberFormat="1" applyFont="1" applyFill="1" applyBorder="1" applyAlignment="1">
      <alignment horizontal="right" vertical="center"/>
    </xf>
    <xf numFmtId="49" fontId="12" fillId="33" borderId="25" xfId="2" applyNumberFormat="1" applyFont="1" applyFill="1" applyBorder="1" applyAlignment="1">
      <alignment horizontal="right" vertical="center"/>
    </xf>
    <xf numFmtId="10" fontId="11" fillId="0" borderId="93" xfId="73" applyNumberFormat="1" applyFont="1" applyFill="1" applyBorder="1" applyAlignment="1">
      <alignment vertical="center"/>
    </xf>
    <xf numFmtId="10" fontId="20" fillId="0" borderId="94" xfId="73" applyNumberFormat="1" applyFont="1" applyFill="1" applyBorder="1" applyAlignment="1">
      <alignment horizontal="center" vertical="center"/>
    </xf>
    <xf numFmtId="10" fontId="59" fillId="33" borderId="14" xfId="124" applyNumberFormat="1" applyFont="1" applyFill="1" applyBorder="1" applyAlignment="1">
      <alignment vertical="center"/>
    </xf>
    <xf numFmtId="44" fontId="59" fillId="33" borderId="12" xfId="124" applyNumberFormat="1" applyFont="1" applyFill="1" applyBorder="1" applyAlignment="1">
      <alignment vertical="center"/>
    </xf>
    <xf numFmtId="44" fontId="59" fillId="33" borderId="27" xfId="124" applyNumberFormat="1" applyFont="1" applyFill="1" applyBorder="1" applyAlignment="1">
      <alignment vertical="center"/>
    </xf>
    <xf numFmtId="44" fontId="59" fillId="33" borderId="25" xfId="124" applyNumberFormat="1" applyFont="1" applyFill="1" applyBorder="1" applyAlignment="1">
      <alignment vertical="center"/>
    </xf>
    <xf numFmtId="10" fontId="59" fillId="33" borderId="12" xfId="124" applyNumberFormat="1" applyFont="1" applyFill="1" applyBorder="1" applyAlignment="1">
      <alignment vertical="center"/>
    </xf>
    <xf numFmtId="2" fontId="59" fillId="33" borderId="44" xfId="124" applyNumberFormat="1" applyFont="1" applyFill="1" applyBorder="1" applyAlignment="1">
      <alignment horizontal="center" vertical="center"/>
    </xf>
    <xf numFmtId="2" fontId="59" fillId="33" borderId="0" xfId="124" applyNumberFormat="1" applyFont="1" applyFill="1" applyBorder="1" applyAlignment="1">
      <alignment horizontal="center" vertical="center"/>
    </xf>
    <xf numFmtId="2" fontId="59" fillId="33" borderId="27" xfId="124" applyNumberFormat="1" applyFont="1" applyFill="1" applyBorder="1" applyAlignment="1">
      <alignment horizontal="center" vertical="center"/>
    </xf>
    <xf numFmtId="2" fontId="59" fillId="33" borderId="26" xfId="124" applyNumberFormat="1" applyFont="1" applyFill="1" applyBorder="1" applyAlignment="1">
      <alignment horizontal="center" vertical="center"/>
    </xf>
    <xf numFmtId="10" fontId="20" fillId="0" borderId="93" xfId="73" applyNumberFormat="1" applyFont="1" applyFill="1" applyBorder="1" applyAlignment="1">
      <alignment horizontal="center" vertical="center"/>
    </xf>
    <xf numFmtId="10" fontId="20" fillId="0" borderId="94" xfId="73" applyNumberFormat="1" applyFont="1" applyFill="1" applyBorder="1" applyAlignment="1">
      <alignment horizontal="center" vertical="center"/>
    </xf>
    <xf numFmtId="4" fontId="11" fillId="0" borderId="187" xfId="73" applyNumberFormat="1" applyFont="1" applyFill="1" applyBorder="1" applyAlignment="1">
      <alignment horizontal="center" vertical="center"/>
    </xf>
    <xf numFmtId="4" fontId="11" fillId="0" borderId="188" xfId="73" applyNumberFormat="1" applyFont="1" applyFill="1" applyBorder="1" applyAlignment="1">
      <alignment horizontal="center" vertical="center"/>
    </xf>
    <xf numFmtId="4" fontId="11" fillId="0" borderId="119" xfId="73" applyNumberFormat="1" applyFont="1" applyFill="1" applyBorder="1" applyAlignment="1">
      <alignment horizontal="center" vertical="center"/>
    </xf>
    <xf numFmtId="4" fontId="11" fillId="0" borderId="120" xfId="73" applyNumberFormat="1" applyFont="1" applyFill="1" applyBorder="1" applyAlignment="1">
      <alignment horizontal="center" vertical="center"/>
    </xf>
    <xf numFmtId="2" fontId="59" fillId="33" borderId="14" xfId="124" applyNumberFormat="1" applyFont="1" applyFill="1" applyBorder="1" applyAlignment="1">
      <alignment horizontal="center" vertical="center"/>
    </xf>
    <xf numFmtId="2" fontId="59" fillId="33" borderId="12" xfId="124" applyNumberFormat="1" applyFont="1" applyFill="1" applyBorder="1" applyAlignment="1">
      <alignment horizontal="center" vertical="center"/>
    </xf>
    <xf numFmtId="2" fontId="59" fillId="33" borderId="25" xfId="124" applyNumberFormat="1" applyFont="1" applyFill="1" applyBorder="1" applyAlignment="1">
      <alignment horizontal="center" vertical="center"/>
    </xf>
    <xf numFmtId="0" fontId="83" fillId="32" borderId="14" xfId="124" applyFont="1" applyFill="1" applyBorder="1" applyAlignment="1">
      <alignment horizontal="center" vertical="center"/>
    </xf>
    <xf numFmtId="0" fontId="83" fillId="32" borderId="13" xfId="124" applyFont="1" applyFill="1" applyBorder="1" applyAlignment="1">
      <alignment horizontal="center" vertical="center"/>
    </xf>
    <xf numFmtId="0" fontId="83" fillId="32" borderId="12" xfId="124" applyFont="1" applyFill="1" applyBorder="1" applyAlignment="1">
      <alignment horizontal="center" vertical="center"/>
    </xf>
    <xf numFmtId="0" fontId="42" fillId="32" borderId="44" xfId="124" applyFont="1" applyFill="1" applyBorder="1" applyAlignment="1">
      <alignment horizontal="center" vertical="center"/>
    </xf>
    <xf numFmtId="0" fontId="42" fillId="32" borderId="0" xfId="124" applyFont="1" applyFill="1" applyBorder="1" applyAlignment="1">
      <alignment horizontal="center" vertical="center"/>
    </xf>
    <xf numFmtId="0" fontId="42" fillId="32" borderId="43" xfId="124" applyFont="1" applyFill="1" applyBorder="1" applyAlignment="1">
      <alignment horizontal="center" vertical="center"/>
    </xf>
    <xf numFmtId="10" fontId="20" fillId="0" borderId="93" xfId="109" applyNumberFormat="1" applyFont="1" applyFill="1" applyBorder="1" applyAlignment="1">
      <alignment horizontal="center" vertical="center"/>
    </xf>
    <xf numFmtId="10" fontId="20" fillId="0" borderId="94" xfId="109" applyNumberFormat="1" applyFont="1" applyFill="1" applyBorder="1" applyAlignment="1">
      <alignment horizontal="center" vertical="center"/>
    </xf>
    <xf numFmtId="0" fontId="58" fillId="36" borderId="14" xfId="73" applyFont="1" applyFill="1" applyBorder="1" applyAlignment="1">
      <alignment horizontal="center" vertical="center"/>
    </xf>
    <xf numFmtId="0" fontId="58" fillId="36" borderId="27" xfId="73" applyFont="1" applyFill="1" applyBorder="1" applyAlignment="1">
      <alignment horizontal="center" vertical="center"/>
    </xf>
    <xf numFmtId="0" fontId="58" fillId="36" borderId="80" xfId="73" applyFont="1" applyFill="1" applyBorder="1" applyAlignment="1">
      <alignment horizontal="center" vertical="center"/>
    </xf>
    <xf numFmtId="0" fontId="58" fillId="36" borderId="82" xfId="73" applyFont="1" applyFill="1" applyBorder="1" applyAlignment="1">
      <alignment horizontal="center" vertical="center"/>
    </xf>
    <xf numFmtId="0" fontId="58" fillId="36" borderId="81" xfId="73" applyFont="1" applyFill="1" applyBorder="1" applyAlignment="1">
      <alignment horizontal="center" vertical="center"/>
    </xf>
    <xf numFmtId="0" fontId="58" fillId="36" borderId="48" xfId="73" applyFont="1" applyFill="1" applyBorder="1" applyAlignment="1">
      <alignment horizontal="center" vertical="center"/>
    </xf>
    <xf numFmtId="0" fontId="66" fillId="32" borderId="11" xfId="124" applyFont="1" applyFill="1" applyBorder="1" applyAlignment="1">
      <alignment horizontal="center"/>
    </xf>
    <xf numFmtId="0" fontId="66" fillId="32" borderId="24" xfId="124" applyFont="1" applyFill="1" applyBorder="1" applyAlignment="1">
      <alignment horizontal="center"/>
    </xf>
    <xf numFmtId="0" fontId="58" fillId="36" borderId="67" xfId="73" applyFont="1" applyFill="1" applyBorder="1" applyAlignment="1">
      <alignment horizontal="center" vertical="center"/>
    </xf>
    <xf numFmtId="0" fontId="58" fillId="36" borderId="83" xfId="73" applyFont="1" applyFill="1" applyBorder="1" applyAlignment="1">
      <alignment horizontal="center" vertical="center"/>
    </xf>
    <xf numFmtId="0" fontId="58" fillId="36" borderId="84" xfId="73" applyFont="1" applyFill="1" applyBorder="1" applyAlignment="1">
      <alignment horizontal="center" vertical="center"/>
    </xf>
    <xf numFmtId="0" fontId="58" fillId="36" borderId="49" xfId="73" applyFont="1" applyFill="1" applyBorder="1" applyAlignment="1">
      <alignment horizontal="center" vertical="center"/>
    </xf>
    <xf numFmtId="10" fontId="20" fillId="0" borderId="87" xfId="73" applyNumberFormat="1" applyFont="1" applyFill="1" applyBorder="1" applyAlignment="1">
      <alignment horizontal="center" vertical="center"/>
    </xf>
    <xf numFmtId="10" fontId="20" fillId="0" borderId="88" xfId="73" applyNumberFormat="1" applyFont="1" applyFill="1" applyBorder="1" applyAlignment="1">
      <alignment horizontal="center" vertical="center"/>
    </xf>
    <xf numFmtId="0" fontId="0" fillId="0" borderId="86" xfId="73" applyFont="1" applyBorder="1" applyAlignment="1">
      <alignment horizontal="left" vertical="top" wrapText="1"/>
    </xf>
    <xf numFmtId="0" fontId="0" fillId="0" borderId="90" xfId="73" applyFont="1" applyBorder="1" applyAlignment="1">
      <alignment horizontal="left" vertical="top" wrapText="1"/>
    </xf>
    <xf numFmtId="0" fontId="13" fillId="37" borderId="4" xfId="2" applyFont="1" applyFill="1" applyBorder="1" applyAlignment="1">
      <alignment horizontal="right" vertical="center"/>
    </xf>
    <xf numFmtId="0" fontId="13" fillId="37" borderId="3" xfId="2" applyFont="1" applyFill="1" applyBorder="1" applyAlignment="1">
      <alignment horizontal="right" vertical="center"/>
    </xf>
    <xf numFmtId="0" fontId="13" fillId="37" borderId="2" xfId="2" applyFont="1" applyFill="1" applyBorder="1" applyAlignment="1">
      <alignment horizontal="right" vertical="center"/>
    </xf>
    <xf numFmtId="0" fontId="12" fillId="0" borderId="17" xfId="2" applyNumberFormat="1" applyFont="1" applyBorder="1" applyAlignment="1">
      <alignment horizontal="right" vertical="center"/>
    </xf>
    <xf numFmtId="0" fontId="12" fillId="0" borderId="16" xfId="2" applyNumberFormat="1" applyFont="1" applyBorder="1" applyAlignment="1">
      <alignment horizontal="right" vertical="center"/>
    </xf>
    <xf numFmtId="0" fontId="12" fillId="0" borderId="23" xfId="2" applyNumberFormat="1" applyFont="1" applyBorder="1" applyAlignment="1">
      <alignment horizontal="right" vertical="center"/>
    </xf>
    <xf numFmtId="0" fontId="12" fillId="0" borderId="30" xfId="2" applyNumberFormat="1" applyFont="1" applyBorder="1" applyAlignment="1">
      <alignment horizontal="right" vertical="center"/>
    </xf>
    <xf numFmtId="0" fontId="12" fillId="0" borderId="29" xfId="2" applyNumberFormat="1" applyFont="1" applyBorder="1" applyAlignment="1">
      <alignment horizontal="right" vertical="center"/>
    </xf>
    <xf numFmtId="0" fontId="12" fillId="0" borderId="28" xfId="2" applyNumberFormat="1" applyFont="1" applyBorder="1" applyAlignment="1">
      <alignment horizontal="right" vertical="center"/>
    </xf>
    <xf numFmtId="0" fontId="12" fillId="6" borderId="17" xfId="2" applyNumberFormat="1" applyFont="1" applyFill="1" applyBorder="1" applyAlignment="1">
      <alignment horizontal="right" vertical="center"/>
    </xf>
    <xf numFmtId="0" fontId="12" fillId="6" borderId="16" xfId="2" applyNumberFormat="1" applyFont="1" applyFill="1" applyBorder="1" applyAlignment="1">
      <alignment horizontal="right" vertical="center"/>
    </xf>
    <xf numFmtId="0" fontId="12" fillId="6" borderId="23" xfId="2" applyNumberFormat="1" applyFont="1" applyFill="1" applyBorder="1" applyAlignment="1">
      <alignment horizontal="right" vertical="center"/>
    </xf>
    <xf numFmtId="0" fontId="12" fillId="0" borderId="19" xfId="2" applyFont="1" applyBorder="1" applyAlignment="1">
      <alignment horizontal="right" vertical="center"/>
    </xf>
    <xf numFmtId="0" fontId="12" fillId="0" borderId="18" xfId="2" applyFont="1" applyBorder="1" applyAlignment="1">
      <alignment horizontal="right" vertical="center"/>
    </xf>
    <xf numFmtId="0" fontId="12" fillId="0" borderId="9" xfId="2" applyFont="1" applyBorder="1" applyAlignment="1">
      <alignment horizontal="right" vertical="center"/>
    </xf>
    <xf numFmtId="0" fontId="12" fillId="0" borderId="8" xfId="2" applyFont="1" applyBorder="1" applyAlignment="1">
      <alignment horizontal="right" vertical="center"/>
    </xf>
    <xf numFmtId="0" fontId="84" fillId="33" borderId="14" xfId="2" applyFont="1" applyFill="1" applyBorder="1" applyAlignment="1">
      <alignment horizontal="center" vertical="center"/>
    </xf>
    <xf numFmtId="0" fontId="84" fillId="33" borderId="13" xfId="2" applyFont="1" applyFill="1" applyBorder="1" applyAlignment="1">
      <alignment horizontal="center" vertical="center"/>
    </xf>
    <xf numFmtId="0" fontId="84" fillId="33" borderId="12" xfId="2" applyFont="1" applyFill="1" applyBorder="1" applyAlignment="1">
      <alignment horizontal="center" vertical="center"/>
    </xf>
    <xf numFmtId="0" fontId="84" fillId="33" borderId="44" xfId="2" applyFont="1" applyFill="1" applyBorder="1" applyAlignment="1">
      <alignment horizontal="center" vertical="center"/>
    </xf>
    <xf numFmtId="0" fontId="84" fillId="33" borderId="0" xfId="2" applyFont="1" applyFill="1" applyBorder="1" applyAlignment="1">
      <alignment horizontal="center" vertical="center"/>
    </xf>
    <xf numFmtId="0" fontId="84" fillId="33" borderId="43" xfId="2" applyFont="1" applyFill="1" applyBorder="1" applyAlignment="1">
      <alignment horizontal="center" vertical="center"/>
    </xf>
    <xf numFmtId="0" fontId="42" fillId="33" borderId="44" xfId="2" applyFont="1" applyFill="1" applyBorder="1" applyAlignment="1">
      <alignment horizontal="center" vertical="center"/>
    </xf>
    <xf numFmtId="0" fontId="42" fillId="33" borderId="0" xfId="2" applyFont="1" applyFill="1" applyBorder="1" applyAlignment="1">
      <alignment horizontal="center" vertical="center"/>
    </xf>
    <xf numFmtId="0" fontId="42" fillId="33" borderId="43" xfId="2" applyFont="1" applyFill="1" applyBorder="1" applyAlignment="1">
      <alignment horizontal="center" vertical="center"/>
    </xf>
    <xf numFmtId="0" fontId="12" fillId="33" borderId="11" xfId="2" applyFont="1" applyFill="1" applyBorder="1" applyAlignment="1">
      <alignment horizontal="center" vertical="center"/>
    </xf>
    <xf numFmtId="0" fontId="12" fillId="33" borderId="24" xfId="2" applyFont="1" applyFill="1" applyBorder="1" applyAlignment="1">
      <alignment horizontal="center" vertical="center"/>
    </xf>
    <xf numFmtId="0" fontId="12" fillId="33" borderId="14" xfId="2" applyFont="1" applyFill="1" applyBorder="1" applyAlignment="1">
      <alignment horizontal="center" vertical="center" wrapText="1"/>
    </xf>
    <xf numFmtId="0" fontId="12" fillId="33" borderId="13" xfId="2" applyFont="1" applyFill="1" applyBorder="1" applyAlignment="1">
      <alignment horizontal="center" vertical="center" wrapText="1"/>
    </xf>
    <xf numFmtId="0" fontId="12" fillId="33" borderId="12" xfId="2" applyFont="1" applyFill="1" applyBorder="1" applyAlignment="1">
      <alignment horizontal="center" vertical="center" wrapText="1"/>
    </xf>
    <xf numFmtId="0" fontId="12" fillId="33" borderId="27" xfId="2" applyFont="1" applyFill="1" applyBorder="1" applyAlignment="1">
      <alignment horizontal="center" vertical="center" wrapText="1"/>
    </xf>
    <xf numFmtId="0" fontId="12" fillId="33" borderId="26" xfId="2" applyFont="1" applyFill="1" applyBorder="1" applyAlignment="1">
      <alignment horizontal="center" vertical="center" wrapText="1"/>
    </xf>
    <xf numFmtId="0" fontId="12" fillId="33" borderId="25" xfId="2" applyFont="1" applyFill="1" applyBorder="1" applyAlignment="1">
      <alignment horizontal="center" vertical="center" wrapText="1"/>
    </xf>
    <xf numFmtId="166" fontId="12" fillId="33" borderId="11" xfId="3" applyNumberFormat="1" applyFont="1" applyFill="1" applyBorder="1" applyAlignment="1" applyProtection="1">
      <alignment horizontal="center" vertical="center" wrapText="1"/>
    </xf>
    <xf numFmtId="166" fontId="12" fillId="33" borderId="24" xfId="3" applyNumberFormat="1" applyFont="1" applyFill="1" applyBorder="1" applyAlignment="1" applyProtection="1">
      <alignment horizontal="center" vertical="center" wrapText="1"/>
    </xf>
    <xf numFmtId="0" fontId="12" fillId="0" borderId="17" xfId="2" applyNumberFormat="1" applyFont="1" applyBorder="1" applyAlignment="1">
      <alignment horizontal="center" vertical="center"/>
    </xf>
    <xf numFmtId="0" fontId="12" fillId="0" borderId="16" xfId="2" applyNumberFormat="1" applyFont="1" applyBorder="1" applyAlignment="1">
      <alignment horizontal="center" vertical="center"/>
    </xf>
    <xf numFmtId="0" fontId="12" fillId="0" borderId="15" xfId="2" applyNumberFormat="1" applyFont="1" applyBorder="1" applyAlignment="1">
      <alignment horizontal="center" vertical="center"/>
    </xf>
    <xf numFmtId="0" fontId="13" fillId="37" borderId="4" xfId="2" applyFont="1" applyFill="1" applyBorder="1" applyAlignment="1">
      <alignment horizontal="center" vertical="center"/>
    </xf>
    <xf numFmtId="0" fontId="13" fillId="37" borderId="3" xfId="2" applyFont="1" applyFill="1" applyBorder="1" applyAlignment="1">
      <alignment horizontal="center" vertical="center"/>
    </xf>
    <xf numFmtId="165" fontId="12" fillId="33" borderId="17" xfId="3" applyFont="1" applyFill="1" applyBorder="1" applyAlignment="1" applyProtection="1">
      <alignment horizontal="center" vertical="center"/>
    </xf>
    <xf numFmtId="165" fontId="12" fillId="33" borderId="23" xfId="3" applyFont="1" applyFill="1" applyBorder="1" applyAlignment="1" applyProtection="1">
      <alignment horizontal="center" vertical="center"/>
    </xf>
    <xf numFmtId="0" fontId="12" fillId="0" borderId="30" xfId="2" applyNumberFormat="1" applyFont="1" applyBorder="1" applyAlignment="1">
      <alignment horizontal="center" vertical="center"/>
    </xf>
    <xf numFmtId="0" fontId="12" fillId="0" borderId="29" xfId="2" applyNumberFormat="1" applyFont="1" applyBorder="1" applyAlignment="1">
      <alignment horizontal="center" vertical="center"/>
    </xf>
    <xf numFmtId="40" fontId="12" fillId="33" borderId="11" xfId="2" applyNumberFormat="1" applyFont="1" applyFill="1" applyBorder="1" applyAlignment="1">
      <alignment horizontal="center" vertical="center" wrapText="1"/>
    </xf>
    <xf numFmtId="40" fontId="12" fillId="33" borderId="24" xfId="2" applyNumberFormat="1" applyFont="1" applyFill="1" applyBorder="1" applyAlignment="1">
      <alignment horizontal="center" vertical="center" wrapText="1"/>
    </xf>
    <xf numFmtId="0" fontId="17" fillId="33" borderId="14" xfId="2" applyFont="1" applyFill="1" applyBorder="1" applyAlignment="1">
      <alignment horizontal="center" vertical="center"/>
    </xf>
    <xf numFmtId="0" fontId="17" fillId="33" borderId="13" xfId="2" applyFont="1" applyFill="1" applyBorder="1" applyAlignment="1">
      <alignment horizontal="center" vertical="center"/>
    </xf>
    <xf numFmtId="0" fontId="17" fillId="33" borderId="12" xfId="2" applyFont="1" applyFill="1" applyBorder="1" applyAlignment="1">
      <alignment horizontal="center" vertical="center"/>
    </xf>
    <xf numFmtId="0" fontId="17" fillId="33" borderId="44" xfId="2" applyFont="1" applyFill="1" applyBorder="1" applyAlignment="1">
      <alignment horizontal="center" vertical="center"/>
    </xf>
    <xf numFmtId="0" fontId="17" fillId="33" borderId="0" xfId="2" applyFont="1" applyFill="1" applyBorder="1" applyAlignment="1">
      <alignment horizontal="center" vertical="center"/>
    </xf>
    <xf numFmtId="0" fontId="17" fillId="33" borderId="43" xfId="2" applyFont="1" applyFill="1" applyBorder="1" applyAlignment="1">
      <alignment horizontal="center" vertical="center"/>
    </xf>
    <xf numFmtId="0" fontId="17" fillId="33" borderId="27" xfId="2" applyFont="1" applyFill="1" applyBorder="1" applyAlignment="1">
      <alignment horizontal="center" vertical="center"/>
    </xf>
    <xf numFmtId="0" fontId="17" fillId="33" borderId="26" xfId="2" applyFont="1" applyFill="1" applyBorder="1" applyAlignment="1">
      <alignment horizontal="center" vertical="center"/>
    </xf>
    <xf numFmtId="0" fontId="17" fillId="33" borderId="25" xfId="2" applyFont="1" applyFill="1" applyBorder="1" applyAlignment="1">
      <alignment horizontal="center" vertical="center"/>
    </xf>
    <xf numFmtId="0" fontId="12" fillId="33" borderId="11" xfId="2" applyFont="1" applyFill="1" applyBorder="1" applyAlignment="1">
      <alignment horizontal="center" vertical="center" wrapText="1"/>
    </xf>
    <xf numFmtId="0" fontId="12" fillId="33" borderId="24" xfId="2" applyFont="1" applyFill="1" applyBorder="1" applyAlignment="1">
      <alignment horizontal="center" vertical="center" wrapText="1"/>
    </xf>
    <xf numFmtId="0" fontId="12" fillId="33" borderId="14" xfId="2" applyFont="1" applyFill="1" applyBorder="1" applyAlignment="1">
      <alignment horizontal="center" vertical="center"/>
    </xf>
    <xf numFmtId="0" fontId="12" fillId="33" borderId="13" xfId="2" applyFont="1" applyFill="1" applyBorder="1" applyAlignment="1">
      <alignment horizontal="center" vertical="center"/>
    </xf>
    <xf numFmtId="0" fontId="12" fillId="33" borderId="47" xfId="2" applyFont="1" applyFill="1" applyBorder="1" applyAlignment="1">
      <alignment horizontal="center" vertical="center"/>
    </xf>
    <xf numFmtId="0" fontId="12" fillId="33" borderId="27" xfId="2" applyFont="1" applyFill="1" applyBorder="1" applyAlignment="1">
      <alignment horizontal="center" vertical="center"/>
    </xf>
    <xf numFmtId="0" fontId="12" fillId="33" borderId="26" xfId="2" applyFont="1" applyFill="1" applyBorder="1" applyAlignment="1">
      <alignment horizontal="center" vertical="center"/>
    </xf>
    <xf numFmtId="0" fontId="12" fillId="33" borderId="40" xfId="2" applyFont="1" applyFill="1" applyBorder="1" applyAlignment="1">
      <alignment horizontal="center" vertical="center"/>
    </xf>
    <xf numFmtId="0" fontId="12" fillId="33" borderId="54" xfId="2" applyFont="1" applyFill="1" applyBorder="1" applyAlignment="1">
      <alignment horizontal="center" vertical="center"/>
    </xf>
    <xf numFmtId="0" fontId="12" fillId="33" borderId="41" xfId="2" applyFont="1" applyFill="1" applyBorder="1" applyAlignment="1">
      <alignment horizontal="center" vertical="center"/>
    </xf>
    <xf numFmtId="40" fontId="12" fillId="33" borderId="42" xfId="2" applyNumberFormat="1" applyFont="1" applyFill="1" applyBorder="1" applyAlignment="1">
      <alignment horizontal="center" vertical="center"/>
    </xf>
    <xf numFmtId="40" fontId="12" fillId="33" borderId="55" xfId="2" applyNumberFormat="1" applyFont="1" applyFill="1" applyBorder="1" applyAlignment="1">
      <alignment horizontal="center" vertical="center"/>
    </xf>
    <xf numFmtId="0" fontId="42" fillId="34" borderId="4" xfId="0" applyFont="1" applyFill="1" applyBorder="1" applyAlignment="1">
      <alignment horizontal="center"/>
    </xf>
    <xf numFmtId="0" fontId="42" fillId="34" borderId="3" xfId="0" applyFont="1" applyFill="1" applyBorder="1" applyAlignment="1">
      <alignment horizontal="center"/>
    </xf>
    <xf numFmtId="0" fontId="42" fillId="34" borderId="85" xfId="0" applyFont="1" applyFill="1" applyBorder="1" applyAlignment="1">
      <alignment horizontal="center"/>
    </xf>
    <xf numFmtId="0" fontId="42" fillId="33" borderId="14" xfId="0" applyFont="1" applyFill="1" applyBorder="1" applyAlignment="1">
      <alignment horizontal="center"/>
    </xf>
    <xf numFmtId="0" fontId="42" fillId="33" borderId="13" xfId="0" applyFont="1" applyFill="1" applyBorder="1" applyAlignment="1">
      <alignment horizontal="center"/>
    </xf>
    <xf numFmtId="0" fontId="42" fillId="33" borderId="12" xfId="0" applyFont="1" applyFill="1" applyBorder="1" applyAlignment="1">
      <alignment horizontal="center"/>
    </xf>
    <xf numFmtId="0" fontId="14" fillId="4" borderId="44" xfId="0" applyFont="1" applyFill="1" applyBorder="1" applyAlignment="1">
      <alignment horizontal="left" wrapText="1"/>
    </xf>
    <xf numFmtId="0" fontId="14" fillId="4" borderId="0" xfId="0" applyFont="1" applyFill="1" applyBorder="1" applyAlignment="1">
      <alignment horizontal="left" wrapText="1"/>
    </xf>
    <xf numFmtId="0" fontId="14" fillId="4" borderId="101" xfId="0" applyFont="1" applyFill="1" applyBorder="1" applyAlignment="1">
      <alignment horizontal="left" wrapText="1"/>
    </xf>
    <xf numFmtId="0" fontId="14" fillId="4" borderId="44" xfId="0" applyFont="1" applyFill="1" applyBorder="1" applyAlignment="1"/>
    <xf numFmtId="0" fontId="14" fillId="4" borderId="0" xfId="0" applyFont="1" applyFill="1" applyBorder="1" applyAlignment="1"/>
    <xf numFmtId="0" fontId="14" fillId="4" borderId="101" xfId="0" applyFont="1" applyFill="1" applyBorder="1" applyAlignment="1"/>
    <xf numFmtId="0" fontId="43" fillId="23" borderId="190" xfId="0" applyFont="1" applyFill="1" applyBorder="1" applyAlignment="1">
      <alignment horizontal="center"/>
    </xf>
    <xf numFmtId="0" fontId="43" fillId="23" borderId="98" xfId="0" applyFont="1" applyFill="1" applyBorder="1" applyAlignment="1">
      <alignment horizontal="center"/>
    </xf>
    <xf numFmtId="0" fontId="43" fillId="23" borderId="110" xfId="0" applyFont="1" applyFill="1" applyBorder="1" applyAlignment="1">
      <alignment horizontal="center"/>
    </xf>
    <xf numFmtId="0" fontId="43" fillId="23" borderId="99" xfId="0" applyFont="1" applyFill="1" applyBorder="1" applyAlignment="1">
      <alignment horizontal="center"/>
    </xf>
    <xf numFmtId="0" fontId="14" fillId="4" borderId="38" xfId="0" applyFont="1" applyFill="1" applyBorder="1" applyAlignment="1">
      <alignment horizontal="left" wrapText="1"/>
    </xf>
    <xf numFmtId="0" fontId="14" fillId="4" borderId="37" xfId="0" applyFont="1" applyFill="1" applyBorder="1" applyAlignment="1">
      <alignment horizontal="left" wrapText="1"/>
    </xf>
    <xf numFmtId="0" fontId="14" fillId="4" borderId="111" xfId="0" applyFont="1" applyFill="1" applyBorder="1" applyAlignment="1">
      <alignment horizontal="left" wrapText="1"/>
    </xf>
    <xf numFmtId="0" fontId="89" fillId="33" borderId="14" xfId="0" applyFont="1" applyFill="1" applyBorder="1" applyAlignment="1">
      <alignment horizontal="center"/>
    </xf>
    <xf numFmtId="0" fontId="89" fillId="33" borderId="13" xfId="0" applyFont="1" applyFill="1" applyBorder="1" applyAlignment="1">
      <alignment horizontal="center"/>
    </xf>
    <xf numFmtId="0" fontId="89" fillId="33" borderId="12" xfId="0" applyFont="1" applyFill="1" applyBorder="1" applyAlignment="1">
      <alignment horizontal="center"/>
    </xf>
    <xf numFmtId="0" fontId="89" fillId="33" borderId="44" xfId="0" applyFont="1" applyFill="1" applyBorder="1" applyAlignment="1">
      <alignment horizontal="center"/>
    </xf>
    <xf numFmtId="0" fontId="89" fillId="33" borderId="0" xfId="0" applyFont="1" applyFill="1" applyBorder="1" applyAlignment="1">
      <alignment horizontal="center"/>
    </xf>
    <xf numFmtId="0" fontId="89" fillId="33" borderId="43" xfId="0" applyFont="1" applyFill="1" applyBorder="1" applyAlignment="1">
      <alignment horizontal="center"/>
    </xf>
    <xf numFmtId="0" fontId="0" fillId="0" borderId="46" xfId="2" applyNumberFormat="1" applyFont="1" applyFill="1" applyBorder="1" applyAlignment="1">
      <alignment horizontal="left" vertical="center"/>
    </xf>
    <xf numFmtId="0" fontId="85" fillId="33" borderId="44" xfId="2" applyFont="1" applyFill="1" applyBorder="1" applyAlignment="1">
      <alignment horizontal="center" vertical="center"/>
    </xf>
    <xf numFmtId="0" fontId="85" fillId="33" borderId="0" xfId="2" applyFont="1" applyFill="1" applyBorder="1" applyAlignment="1">
      <alignment horizontal="center" vertical="center"/>
    </xf>
    <xf numFmtId="0" fontId="85" fillId="33" borderId="43" xfId="2" applyFont="1" applyFill="1" applyBorder="1" applyAlignment="1">
      <alignment horizontal="center" vertical="center"/>
    </xf>
    <xf numFmtId="0" fontId="12" fillId="34" borderId="182" xfId="2" applyFont="1" applyFill="1" applyBorder="1" applyAlignment="1">
      <alignment horizontal="center" vertical="center"/>
    </xf>
    <xf numFmtId="0" fontId="12" fillId="34" borderId="146" xfId="2" applyFont="1" applyFill="1" applyBorder="1" applyAlignment="1">
      <alignment horizontal="center" vertical="center"/>
    </xf>
    <xf numFmtId="0" fontId="12" fillId="34" borderId="183" xfId="2" applyFont="1" applyFill="1" applyBorder="1" applyAlignment="1">
      <alignment horizontal="center" vertical="center"/>
    </xf>
    <xf numFmtId="0" fontId="12" fillId="34" borderId="147" xfId="2" applyFont="1" applyFill="1" applyBorder="1" applyAlignment="1">
      <alignment horizontal="center" vertical="center"/>
    </xf>
    <xf numFmtId="40" fontId="12" fillId="34" borderId="161" xfId="2" applyNumberFormat="1" applyFont="1" applyFill="1" applyBorder="1" applyAlignment="1">
      <alignment horizontal="center" vertical="center"/>
    </xf>
    <xf numFmtId="40" fontId="12" fillId="34" borderId="185" xfId="2" applyNumberFormat="1" applyFont="1" applyFill="1" applyBorder="1" applyAlignment="1">
      <alignment horizontal="center" vertical="center"/>
    </xf>
    <xf numFmtId="0" fontId="12" fillId="34" borderId="184" xfId="2" applyFont="1" applyFill="1" applyBorder="1" applyAlignment="1">
      <alignment horizontal="center" vertical="center"/>
    </xf>
    <xf numFmtId="0" fontId="12" fillId="34" borderId="41" xfId="2" applyFont="1" applyFill="1" applyBorder="1" applyAlignment="1">
      <alignment horizontal="center" vertical="center"/>
    </xf>
    <xf numFmtId="0" fontId="12" fillId="34" borderId="183" xfId="2" applyFont="1" applyFill="1" applyBorder="1" applyAlignment="1">
      <alignment horizontal="center" vertical="center" wrapText="1"/>
    </xf>
    <xf numFmtId="0" fontId="12" fillId="34" borderId="147" xfId="2" applyFont="1" applyFill="1" applyBorder="1" applyAlignment="1">
      <alignment horizontal="center" vertical="center" wrapText="1"/>
    </xf>
    <xf numFmtId="0" fontId="12" fillId="34" borderId="161" xfId="2" applyFont="1" applyFill="1" applyBorder="1" applyAlignment="1">
      <alignment horizontal="center" vertical="center" wrapText="1"/>
    </xf>
    <xf numFmtId="0" fontId="12" fillId="34" borderId="185" xfId="2" applyFont="1" applyFill="1" applyBorder="1" applyAlignment="1">
      <alignment horizontal="center" vertical="center" wrapText="1"/>
    </xf>
    <xf numFmtId="0" fontId="12" fillId="34" borderId="162" xfId="2" applyFont="1" applyFill="1" applyBorder="1" applyAlignment="1">
      <alignment horizontal="center" vertical="center" wrapText="1"/>
    </xf>
    <xf numFmtId="0" fontId="12" fillId="34" borderId="154" xfId="2" applyFont="1" applyFill="1" applyBorder="1" applyAlignment="1">
      <alignment horizontal="center" vertical="center" wrapText="1"/>
    </xf>
    <xf numFmtId="0" fontId="12" fillId="34" borderId="152" xfId="2" applyFont="1" applyFill="1" applyBorder="1" applyAlignment="1">
      <alignment horizontal="center" vertical="center" wrapText="1"/>
    </xf>
    <xf numFmtId="0" fontId="12" fillId="34" borderId="130" xfId="2" applyFont="1" applyFill="1" applyBorder="1" applyAlignment="1">
      <alignment horizontal="center" vertical="center" wrapText="1"/>
    </xf>
    <xf numFmtId="0" fontId="42" fillId="33" borderId="192" xfId="2" applyFont="1" applyFill="1" applyBorder="1" applyAlignment="1">
      <alignment horizontal="center" vertical="center"/>
    </xf>
    <xf numFmtId="0" fontId="42" fillId="33" borderId="193" xfId="2" applyFont="1" applyFill="1" applyBorder="1" applyAlignment="1">
      <alignment horizontal="center" vertical="center"/>
    </xf>
    <xf numFmtId="0" fontId="42" fillId="33" borderId="194" xfId="2" applyFont="1" applyFill="1" applyBorder="1" applyAlignment="1">
      <alignment horizontal="center" vertical="center"/>
    </xf>
    <xf numFmtId="0" fontId="12" fillId="34" borderId="52" xfId="2" applyFont="1" applyFill="1" applyBorder="1" applyAlignment="1">
      <alignment horizontal="center" vertical="center"/>
    </xf>
    <xf numFmtId="0" fontId="12" fillId="34" borderId="129" xfId="2" applyFont="1" applyFill="1" applyBorder="1" applyAlignment="1">
      <alignment horizontal="center" vertical="center"/>
    </xf>
    <xf numFmtId="0" fontId="12" fillId="34" borderId="45" xfId="2" applyFont="1" applyFill="1" applyBorder="1" applyAlignment="1">
      <alignment horizontal="center" vertical="center" wrapText="1"/>
    </xf>
    <xf numFmtId="0" fontId="12" fillId="34" borderId="72" xfId="2" applyFont="1" applyFill="1" applyBorder="1" applyAlignment="1">
      <alignment horizontal="center" vertical="center" wrapText="1"/>
    </xf>
    <xf numFmtId="0" fontId="12" fillId="34" borderId="45" xfId="2" applyFont="1" applyFill="1" applyBorder="1" applyAlignment="1">
      <alignment horizontal="center" vertical="center"/>
    </xf>
    <xf numFmtId="0" fontId="12" fillId="34" borderId="72" xfId="2" applyFont="1" applyFill="1" applyBorder="1" applyAlignment="1">
      <alignment horizontal="center" vertical="center"/>
    </xf>
    <xf numFmtId="0" fontId="12" fillId="34" borderId="33" xfId="2" applyFont="1" applyFill="1" applyBorder="1" applyAlignment="1">
      <alignment horizontal="center" vertical="center"/>
    </xf>
    <xf numFmtId="0" fontId="12" fillId="34" borderId="155" xfId="2" applyFont="1" applyFill="1" applyBorder="1" applyAlignment="1">
      <alignment horizontal="center" vertical="center"/>
    </xf>
    <xf numFmtId="40" fontId="12" fillId="34" borderId="31" xfId="2" applyNumberFormat="1" applyFont="1" applyFill="1" applyBorder="1" applyAlignment="1">
      <alignment horizontal="center" vertical="center"/>
    </xf>
    <xf numFmtId="40" fontId="12" fillId="34" borderId="45" xfId="2" applyNumberFormat="1" applyFont="1" applyFill="1" applyBorder="1" applyAlignment="1">
      <alignment horizontal="center" vertical="center"/>
    </xf>
    <xf numFmtId="0" fontId="12" fillId="34" borderId="31" xfId="2" applyFont="1" applyFill="1" applyBorder="1" applyAlignment="1">
      <alignment horizontal="center" vertical="center" wrapText="1"/>
    </xf>
    <xf numFmtId="0" fontId="68" fillId="0" borderId="44" xfId="73" applyFont="1" applyBorder="1" applyAlignment="1">
      <alignment horizontal="right" vertical="center"/>
    </xf>
    <xf numFmtId="0" fontId="68" fillId="0" borderId="0" xfId="73" applyFont="1" applyBorder="1" applyAlignment="1">
      <alignment horizontal="right" vertical="center"/>
    </xf>
    <xf numFmtId="10" fontId="68" fillId="0" borderId="0" xfId="73" applyNumberFormat="1" applyFont="1" applyBorder="1" applyAlignment="1">
      <alignment horizontal="center" vertical="center"/>
    </xf>
    <xf numFmtId="0" fontId="11" fillId="33" borderId="17" xfId="73" applyFont="1" applyFill="1" applyBorder="1" applyAlignment="1">
      <alignment horizontal="left" vertical="center" wrapText="1"/>
    </xf>
    <xf numFmtId="0" fontId="11" fillId="33" borderId="16" xfId="73" applyFont="1" applyFill="1" applyBorder="1" applyAlignment="1">
      <alignment horizontal="left" vertical="center"/>
    </xf>
    <xf numFmtId="0" fontId="11" fillId="33" borderId="15" xfId="73" applyFont="1" applyFill="1" applyBorder="1" applyAlignment="1">
      <alignment horizontal="left" vertical="center"/>
    </xf>
    <xf numFmtId="0" fontId="63" fillId="0" borderId="0" xfId="0" applyFont="1" applyBorder="1" applyAlignment="1">
      <alignment horizontal="center" wrapText="1"/>
    </xf>
    <xf numFmtId="0" fontId="0" fillId="33" borderId="14" xfId="0" applyFill="1" applyBorder="1" applyAlignment="1">
      <alignment horizontal="center"/>
    </xf>
    <xf numFmtId="0" fontId="0" fillId="33" borderId="13" xfId="0" applyFill="1" applyBorder="1" applyAlignment="1">
      <alignment horizontal="center"/>
    </xf>
    <xf numFmtId="0" fontId="0" fillId="33" borderId="12" xfId="0" applyFill="1" applyBorder="1" applyAlignment="1">
      <alignment horizontal="center"/>
    </xf>
    <xf numFmtId="0" fontId="64" fillId="33" borderId="44" xfId="0" applyFont="1" applyFill="1" applyBorder="1" applyAlignment="1">
      <alignment horizontal="center" vertical="center"/>
    </xf>
    <xf numFmtId="0" fontId="64" fillId="33" borderId="0" xfId="0" applyFont="1" applyFill="1" applyBorder="1" applyAlignment="1">
      <alignment horizontal="center" vertical="center"/>
    </xf>
    <xf numFmtId="0" fontId="64" fillId="33" borderId="43" xfId="0" applyFont="1" applyFill="1" applyBorder="1" applyAlignment="1">
      <alignment horizontal="center" vertical="center"/>
    </xf>
    <xf numFmtId="0" fontId="65" fillId="33" borderId="26" xfId="0" applyFont="1" applyFill="1" applyBorder="1" applyAlignment="1">
      <alignment horizontal="left" vertical="center" wrapText="1"/>
    </xf>
    <xf numFmtId="0" fontId="65" fillId="33" borderId="26" xfId="0" applyFont="1" applyFill="1" applyBorder="1" applyAlignment="1">
      <alignment horizontal="center" vertical="center" wrapText="1"/>
    </xf>
    <xf numFmtId="0" fontId="65" fillId="33" borderId="25" xfId="0" applyFont="1" applyFill="1" applyBorder="1" applyAlignment="1">
      <alignment horizontal="center" vertical="center" wrapText="1"/>
    </xf>
    <xf numFmtId="0" fontId="12" fillId="0" borderId="37" xfId="73" applyFont="1" applyBorder="1" applyAlignment="1">
      <alignment horizontal="right"/>
    </xf>
    <xf numFmtId="0" fontId="11" fillId="29" borderId="105" xfId="0" applyFont="1" applyFill="1" applyBorder="1" applyAlignment="1" applyProtection="1">
      <protection locked="0"/>
    </xf>
    <xf numFmtId="0" fontId="11" fillId="29" borderId="106" xfId="0" applyFont="1" applyFill="1" applyBorder="1" applyAlignment="1" applyProtection="1">
      <protection locked="0"/>
    </xf>
    <xf numFmtId="0" fontId="11" fillId="29" borderId="6" xfId="0" applyFont="1" applyFill="1" applyBorder="1" applyAlignment="1" applyProtection="1">
      <alignment horizontal="left"/>
      <protection locked="0"/>
    </xf>
    <xf numFmtId="0" fontId="11" fillId="29" borderId="106" xfId="0" applyFont="1" applyFill="1" applyBorder="1" applyAlignment="1" applyProtection="1">
      <alignment horizontal="left"/>
      <protection locked="0"/>
    </xf>
    <xf numFmtId="14" fontId="11" fillId="29" borderId="105" xfId="0" applyNumberFormat="1" applyFont="1" applyFill="1" applyBorder="1" applyAlignment="1" applyProtection="1">
      <alignment horizontal="left"/>
      <protection locked="0"/>
    </xf>
    <xf numFmtId="0" fontId="11" fillId="29" borderId="104" xfId="0" applyFont="1" applyFill="1" applyBorder="1" applyAlignment="1" applyProtection="1">
      <protection locked="0"/>
    </xf>
    <xf numFmtId="0" fontId="11" fillId="29" borderId="104" xfId="0" applyFont="1" applyFill="1" applyBorder="1" applyAlignment="1" applyProtection="1">
      <alignment horizontal="left"/>
      <protection locked="0"/>
    </xf>
    <xf numFmtId="0" fontId="0" fillId="29" borderId="104" xfId="0" applyFill="1" applyBorder="1" applyAlignment="1" applyProtection="1">
      <protection locked="0"/>
    </xf>
    <xf numFmtId="0" fontId="0" fillId="6" borderId="110" xfId="0" applyFill="1" applyBorder="1" applyAlignment="1" applyProtection="1">
      <alignment horizontal="center" vertical="center"/>
    </xf>
    <xf numFmtId="0" fontId="0" fillId="6" borderId="111" xfId="0" applyFill="1" applyBorder="1" applyAlignment="1" applyProtection="1">
      <alignment horizontal="center" vertical="center"/>
    </xf>
    <xf numFmtId="0" fontId="0" fillId="6" borderId="102" xfId="0" applyFill="1" applyBorder="1" applyAlignment="1" applyProtection="1">
      <alignment horizontal="center" vertical="center"/>
    </xf>
    <xf numFmtId="0" fontId="0" fillId="6" borderId="101" xfId="0" applyFill="1" applyBorder="1" applyAlignment="1" applyProtection="1">
      <alignment horizontal="center" vertical="center"/>
    </xf>
    <xf numFmtId="0" fontId="0" fillId="6" borderId="99" xfId="0" applyFill="1" applyBorder="1" applyAlignment="1" applyProtection="1">
      <alignment horizontal="center" vertical="center"/>
    </xf>
    <xf numFmtId="0" fontId="0" fillId="6" borderId="140" xfId="0" applyFill="1" applyBorder="1" applyAlignment="1" applyProtection="1">
      <alignment horizontal="center" vertical="center"/>
    </xf>
    <xf numFmtId="0" fontId="11" fillId="6" borderId="105" xfId="0" applyFont="1" applyFill="1" applyBorder="1" applyAlignment="1" applyProtection="1">
      <alignment horizontal="left" indent="1"/>
    </xf>
    <xf numFmtId="0" fontId="11" fillId="6" borderId="6" xfId="0" applyFont="1" applyFill="1" applyBorder="1" applyAlignment="1" applyProtection="1">
      <alignment horizontal="left" indent="1"/>
    </xf>
    <xf numFmtId="0" fontId="11" fillId="6" borderId="106" xfId="0" applyFont="1" applyFill="1" applyBorder="1" applyAlignment="1" applyProtection="1">
      <alignment horizontal="left" indent="1"/>
    </xf>
    <xf numFmtId="0" fontId="11" fillId="0" borderId="0" xfId="0" applyFont="1" applyFill="1" applyAlignment="1" applyProtection="1">
      <alignment horizontal="left" wrapText="1"/>
    </xf>
    <xf numFmtId="0" fontId="70" fillId="30" borderId="17" xfId="0" applyFont="1" applyFill="1" applyBorder="1" applyAlignment="1" applyProtection="1">
      <alignment horizontal="center"/>
    </xf>
    <xf numFmtId="0" fontId="70" fillId="30" borderId="16" xfId="0" applyFont="1" applyFill="1" applyBorder="1" applyAlignment="1" applyProtection="1">
      <alignment horizontal="center"/>
    </xf>
    <xf numFmtId="0" fontId="70" fillId="30" borderId="15" xfId="0" applyFont="1" applyFill="1" applyBorder="1" applyAlignment="1" applyProtection="1">
      <alignment horizontal="center"/>
    </xf>
    <xf numFmtId="0" fontId="71" fillId="0" borderId="17" xfId="0" applyFont="1" applyFill="1" applyBorder="1" applyAlignment="1" applyProtection="1">
      <alignment horizontal="center" vertical="center" wrapText="1"/>
    </xf>
    <xf numFmtId="0" fontId="71" fillId="0" borderId="16" xfId="0" applyFont="1" applyFill="1" applyBorder="1" applyAlignment="1" applyProtection="1">
      <alignment horizontal="center" vertical="center" wrapText="1"/>
    </xf>
    <xf numFmtId="0" fontId="12" fillId="29" borderId="16" xfId="0" applyFont="1" applyFill="1" applyBorder="1" applyAlignment="1" applyProtection="1">
      <alignment horizontal="center" vertical="center" wrapText="1"/>
      <protection locked="0"/>
    </xf>
    <xf numFmtId="0" fontId="12" fillId="29" borderId="15" xfId="0" applyFont="1" applyFill="1" applyBorder="1" applyAlignment="1" applyProtection="1">
      <alignment horizontal="center" vertical="center" wrapText="1"/>
      <protection locked="0"/>
    </xf>
    <xf numFmtId="0" fontId="72" fillId="30" borderId="136" xfId="0" applyFont="1" applyFill="1" applyBorder="1" applyAlignment="1" applyProtection="1">
      <alignment horizontal="center"/>
    </xf>
    <xf numFmtId="0" fontId="72" fillId="30" borderId="137" xfId="0" applyFont="1" applyFill="1" applyBorder="1" applyAlignment="1" applyProtection="1">
      <alignment horizontal="center"/>
    </xf>
    <xf numFmtId="0" fontId="0" fillId="6" borderId="81" xfId="0" applyFill="1" applyBorder="1" applyAlignment="1" applyProtection="1">
      <alignment horizontal="left" indent="1"/>
    </xf>
    <xf numFmtId="0" fontId="0" fillId="6" borderId="48" xfId="0" applyFill="1" applyBorder="1" applyAlignment="1" applyProtection="1">
      <alignment horizontal="left" indent="1"/>
    </xf>
    <xf numFmtId="0" fontId="0" fillId="6" borderId="139" xfId="0" applyFill="1" applyBorder="1" applyAlignment="1" applyProtection="1">
      <alignment horizontal="left" indent="1"/>
    </xf>
    <xf numFmtId="0" fontId="0" fillId="6" borderId="105" xfId="0" applyFill="1" applyBorder="1" applyAlignment="1" applyProtection="1">
      <alignment horizontal="left" indent="1"/>
    </xf>
    <xf numFmtId="0" fontId="0" fillId="6" borderId="6" xfId="0" applyFill="1" applyBorder="1" applyAlignment="1" applyProtection="1">
      <alignment horizontal="left" indent="1"/>
    </xf>
    <xf numFmtId="0" fontId="0" fillId="6" borderId="106" xfId="0" applyFill="1" applyBorder="1" applyAlignment="1" applyProtection="1">
      <alignment horizontal="left" indent="1"/>
    </xf>
    <xf numFmtId="0" fontId="11" fillId="6" borderId="110" xfId="0" applyFont="1" applyFill="1" applyBorder="1" applyAlignment="1" applyProtection="1">
      <alignment horizontal="left" indent="1"/>
    </xf>
    <xf numFmtId="0" fontId="11" fillId="6" borderId="37" xfId="0" applyFont="1" applyFill="1" applyBorder="1" applyAlignment="1" applyProtection="1">
      <alignment horizontal="left" indent="1"/>
    </xf>
    <xf numFmtId="0" fontId="11" fillId="6" borderId="111" xfId="0" applyFont="1" applyFill="1" applyBorder="1" applyAlignment="1" applyProtection="1">
      <alignment horizontal="left" indent="1"/>
    </xf>
    <xf numFmtId="0" fontId="74" fillId="0" borderId="0" xfId="0" applyFont="1" applyAlignment="1">
      <alignment horizontal="left" vertical="center" wrapText="1"/>
    </xf>
    <xf numFmtId="0" fontId="72" fillId="31" borderId="17" xfId="0" applyFont="1" applyFill="1" applyBorder="1" applyAlignment="1" applyProtection="1">
      <alignment horizontal="center"/>
    </xf>
    <xf numFmtId="0" fontId="72" fillId="31" borderId="16" xfId="0" applyFont="1" applyFill="1" applyBorder="1" applyAlignment="1" applyProtection="1">
      <alignment horizontal="center"/>
    </xf>
    <xf numFmtId="0" fontId="72" fillId="31" borderId="15" xfId="0" applyFont="1" applyFill="1" applyBorder="1" applyAlignment="1" applyProtection="1">
      <alignment horizontal="center"/>
    </xf>
    <xf numFmtId="0" fontId="0" fillId="6" borderId="14" xfId="0" applyFill="1" applyBorder="1" applyAlignment="1" applyProtection="1">
      <alignment horizontal="center" vertical="center"/>
    </xf>
    <xf numFmtId="0" fontId="0" fillId="6" borderId="27" xfId="0" applyFill="1" applyBorder="1" applyAlignment="1" applyProtection="1">
      <alignment horizontal="center" vertical="center"/>
    </xf>
    <xf numFmtId="0" fontId="0" fillId="6" borderId="13" xfId="0" applyFill="1" applyBorder="1" applyAlignment="1" applyProtection="1">
      <alignment horizontal="center" vertical="center"/>
    </xf>
    <xf numFmtId="0" fontId="0" fillId="6" borderId="26" xfId="0" applyFill="1" applyBorder="1" applyAlignment="1" applyProtection="1">
      <alignment horizontal="center" vertical="center"/>
    </xf>
    <xf numFmtId="0" fontId="0" fillId="6" borderId="48" xfId="0" applyFill="1" applyBorder="1" applyAlignment="1" applyProtection="1">
      <alignment horizontal="center"/>
    </xf>
    <xf numFmtId="0" fontId="0" fillId="6" borderId="12" xfId="0" applyFill="1" applyBorder="1" applyAlignment="1" applyProtection="1">
      <alignment horizontal="left" vertical="center"/>
    </xf>
    <xf numFmtId="0" fontId="0" fillId="6" borderId="25" xfId="0" applyFill="1" applyBorder="1" applyAlignment="1" applyProtection="1">
      <alignment horizontal="left" vertical="center"/>
    </xf>
    <xf numFmtId="0" fontId="0" fillId="6" borderId="26" xfId="0" applyFill="1" applyBorder="1" applyAlignment="1" applyProtection="1">
      <alignment horizontal="center" vertical="top"/>
    </xf>
    <xf numFmtId="0" fontId="72" fillId="31" borderId="136" xfId="0" applyFont="1" applyFill="1" applyBorder="1" applyAlignment="1" applyProtection="1">
      <alignment horizontal="center"/>
    </xf>
    <xf numFmtId="0" fontId="72" fillId="31" borderId="137" xfId="0" applyFont="1" applyFill="1" applyBorder="1" applyAlignment="1" applyProtection="1">
      <alignment horizontal="center"/>
    </xf>
    <xf numFmtId="0" fontId="12" fillId="6" borderId="98" xfId="0" applyFont="1" applyFill="1" applyBorder="1" applyAlignment="1" applyProtection="1">
      <alignment horizontal="left" indent="2"/>
    </xf>
    <xf numFmtId="0" fontId="72" fillId="6" borderId="0" xfId="0" applyFont="1" applyFill="1" applyBorder="1" applyAlignment="1" applyProtection="1">
      <alignment horizontal="justify" vertical="top" wrapText="1"/>
    </xf>
    <xf numFmtId="0" fontId="73" fillId="6" borderId="0" xfId="0" applyFont="1" applyFill="1" applyBorder="1" applyAlignment="1" applyProtection="1">
      <alignment horizontal="justify" vertical="top" wrapText="1"/>
    </xf>
    <xf numFmtId="0" fontId="76" fillId="6" borderId="0" xfId="0" applyFont="1" applyFill="1" applyAlignment="1" applyProtection="1">
      <alignment horizontal="left" wrapText="1"/>
    </xf>
    <xf numFmtId="0" fontId="75" fillId="6" borderId="0" xfId="0" applyFont="1" applyFill="1" applyAlignment="1" applyProtection="1">
      <alignment horizontal="center"/>
    </xf>
    <xf numFmtId="0" fontId="76" fillId="6" borderId="0" xfId="0" applyFont="1" applyFill="1" applyAlignment="1" applyProtection="1">
      <alignment horizontal="justify" vertical="top" wrapText="1"/>
    </xf>
    <xf numFmtId="0" fontId="76" fillId="6" borderId="0" xfId="0" applyFont="1" applyFill="1" applyAlignment="1" applyProtection="1">
      <alignment horizontal="justify"/>
    </xf>
    <xf numFmtId="0" fontId="76" fillId="6" borderId="0" xfId="0" applyFont="1" applyFill="1" applyAlignment="1" applyProtection="1">
      <alignment horizontal="left"/>
    </xf>
    <xf numFmtId="0" fontId="80" fillId="31" borderId="17" xfId="0" applyFont="1" applyFill="1" applyBorder="1" applyAlignment="1" applyProtection="1">
      <alignment horizontal="center"/>
    </xf>
    <xf numFmtId="0" fontId="80" fillId="31" borderId="16" xfId="0" applyFont="1" applyFill="1" applyBorder="1" applyAlignment="1" applyProtection="1">
      <alignment horizontal="center"/>
    </xf>
    <xf numFmtId="0" fontId="80" fillId="31" borderId="15" xfId="0" applyFont="1" applyFill="1" applyBorder="1" applyAlignment="1" applyProtection="1">
      <alignment horizontal="center"/>
    </xf>
    <xf numFmtId="0" fontId="77" fillId="30" borderId="17" xfId="0" applyFont="1" applyFill="1" applyBorder="1" applyAlignment="1" applyProtection="1">
      <alignment horizontal="center"/>
    </xf>
    <xf numFmtId="0" fontId="77" fillId="30" borderId="16" xfId="0" applyFont="1" applyFill="1" applyBorder="1" applyAlignment="1" applyProtection="1">
      <alignment horizontal="center"/>
    </xf>
    <xf numFmtId="0" fontId="77" fillId="30" borderId="15" xfId="0" applyFont="1" applyFill="1" applyBorder="1" applyAlignment="1" applyProtection="1">
      <alignment horizontal="center"/>
    </xf>
    <xf numFmtId="0" fontId="78" fillId="0" borderId="17" xfId="0" applyFont="1" applyFill="1" applyBorder="1" applyAlignment="1" applyProtection="1">
      <alignment horizontal="center" vertical="center" wrapText="1"/>
    </xf>
    <xf numFmtId="0" fontId="78" fillId="0" borderId="16" xfId="0" applyFont="1" applyFill="1" applyBorder="1" applyAlignment="1" applyProtection="1">
      <alignment horizontal="center" vertical="center" wrapText="1"/>
    </xf>
    <xf numFmtId="0" fontId="79" fillId="6" borderId="16" xfId="0" applyFont="1" applyFill="1" applyBorder="1" applyAlignment="1" applyProtection="1">
      <alignment horizontal="center" vertical="center" wrapText="1"/>
    </xf>
    <xf numFmtId="0" fontId="79" fillId="6" borderId="15" xfId="0" applyFont="1" applyFill="1" applyBorder="1" applyAlignment="1" applyProtection="1">
      <alignment horizontal="center" vertical="center" wrapText="1"/>
    </xf>
    <xf numFmtId="0" fontId="80" fillId="30" borderId="136" xfId="0" applyFont="1" applyFill="1" applyBorder="1" applyAlignment="1" applyProtection="1">
      <alignment horizontal="center"/>
    </xf>
    <xf numFmtId="0" fontId="80" fillId="30" borderId="137" xfId="0" applyFont="1" applyFill="1" applyBorder="1" applyAlignment="1" applyProtection="1">
      <alignment horizontal="center"/>
    </xf>
    <xf numFmtId="0" fontId="31" fillId="6" borderId="99" xfId="0" applyFont="1" applyFill="1" applyBorder="1" applyAlignment="1" applyProtection="1">
      <alignment horizontal="left" indent="1"/>
    </xf>
    <xf numFmtId="0" fontId="31" fillId="6" borderId="140" xfId="0" applyFont="1" applyFill="1" applyBorder="1" applyAlignment="1" applyProtection="1">
      <alignment horizontal="left" indent="1"/>
    </xf>
    <xf numFmtId="0" fontId="31" fillId="6" borderId="105" xfId="0" applyFont="1" applyFill="1" applyBorder="1" applyAlignment="1" applyProtection="1">
      <alignment horizontal="left" indent="1"/>
    </xf>
    <xf numFmtId="0" fontId="31" fillId="6" borderId="106" xfId="0" applyFont="1" applyFill="1" applyBorder="1" applyAlignment="1" applyProtection="1">
      <alignment horizontal="left" indent="1"/>
    </xf>
    <xf numFmtId="0" fontId="31" fillId="6" borderId="110" xfId="0" applyFont="1" applyFill="1" applyBorder="1" applyAlignment="1" applyProtection="1">
      <alignment horizontal="center" vertical="center"/>
    </xf>
    <xf numFmtId="0" fontId="31" fillId="6" borderId="111" xfId="0" applyFont="1" applyFill="1" applyBorder="1" applyAlignment="1" applyProtection="1">
      <alignment horizontal="center" vertical="center"/>
    </xf>
    <xf numFmtId="0" fontId="31" fillId="6" borderId="102" xfId="0" applyFont="1" applyFill="1" applyBorder="1" applyAlignment="1" applyProtection="1">
      <alignment horizontal="center" vertical="center"/>
    </xf>
    <xf numFmtId="0" fontId="31" fillId="6" borderId="101" xfId="0" applyFont="1" applyFill="1" applyBorder="1" applyAlignment="1" applyProtection="1">
      <alignment horizontal="center" vertical="center"/>
    </xf>
    <xf numFmtId="0" fontId="31" fillId="6" borderId="99" xfId="0" applyFont="1" applyFill="1" applyBorder="1" applyAlignment="1" applyProtection="1">
      <alignment horizontal="center" vertical="center"/>
    </xf>
    <xf numFmtId="0" fontId="31" fillId="6" borderId="140" xfId="0" applyFont="1" applyFill="1" applyBorder="1" applyAlignment="1" applyProtection="1">
      <alignment horizontal="center" vertical="center"/>
    </xf>
    <xf numFmtId="0" fontId="31" fillId="6" borderId="14" xfId="0" applyFont="1" applyFill="1" applyBorder="1" applyAlignment="1" applyProtection="1">
      <alignment horizontal="center" vertical="center"/>
    </xf>
    <xf numFmtId="0" fontId="31" fillId="6" borderId="27" xfId="0" applyFont="1" applyFill="1" applyBorder="1" applyAlignment="1" applyProtection="1">
      <alignment horizontal="center" vertical="center"/>
    </xf>
    <xf numFmtId="0" fontId="31" fillId="6" borderId="13" xfId="0" applyFont="1" applyFill="1" applyBorder="1" applyAlignment="1" applyProtection="1">
      <alignment horizontal="center" vertical="center"/>
    </xf>
    <xf numFmtId="0" fontId="31" fillId="6" borderId="26" xfId="0" applyFont="1" applyFill="1" applyBorder="1" applyAlignment="1" applyProtection="1">
      <alignment horizontal="center" vertical="center"/>
    </xf>
    <xf numFmtId="0" fontId="31" fillId="6" borderId="12" xfId="0" applyFont="1" applyFill="1" applyBorder="1" applyAlignment="1" applyProtection="1">
      <alignment horizontal="left" vertical="center"/>
    </xf>
    <xf numFmtId="0" fontId="31" fillId="6" borderId="25" xfId="0" applyFont="1" applyFill="1" applyBorder="1" applyAlignment="1" applyProtection="1">
      <alignment horizontal="left" vertical="center"/>
    </xf>
    <xf numFmtId="0" fontId="80" fillId="31" borderId="136" xfId="0" applyFont="1" applyFill="1" applyBorder="1" applyAlignment="1" applyProtection="1">
      <alignment horizontal="center"/>
    </xf>
    <xf numFmtId="0" fontId="80" fillId="31" borderId="137" xfId="0" applyFont="1" applyFill="1" applyBorder="1" applyAlignment="1" applyProtection="1">
      <alignment horizontal="center"/>
    </xf>
    <xf numFmtId="0" fontId="80" fillId="31" borderId="138" xfId="0" applyFont="1" applyFill="1" applyBorder="1" applyAlignment="1" applyProtection="1">
      <alignment horizontal="center"/>
    </xf>
    <xf numFmtId="178" fontId="81" fillId="6" borderId="44" xfId="0" applyNumberFormat="1" applyFont="1" applyFill="1" applyBorder="1" applyAlignment="1" applyProtection="1">
      <alignment horizontal="center" wrapText="1"/>
    </xf>
    <xf numFmtId="178" fontId="81" fillId="6" borderId="0" xfId="0" applyNumberFormat="1" applyFont="1" applyFill="1" applyBorder="1" applyAlignment="1" applyProtection="1">
      <alignment horizontal="center" wrapText="1"/>
    </xf>
    <xf numFmtId="0" fontId="79" fillId="6" borderId="82" xfId="0" applyFont="1" applyFill="1" applyBorder="1" applyAlignment="1" applyProtection="1">
      <alignment horizontal="left" indent="2"/>
    </xf>
    <xf numFmtId="0" fontId="79" fillId="6" borderId="141" xfId="0" applyFont="1" applyFill="1" applyBorder="1" applyAlignment="1" applyProtection="1">
      <alignment horizontal="left" indent="2"/>
    </xf>
    <xf numFmtId="0" fontId="31" fillId="6" borderId="0" xfId="0" applyFont="1" applyFill="1" applyBorder="1" applyAlignment="1" applyProtection="1">
      <alignment horizontal="center"/>
    </xf>
    <xf numFmtId="14" fontId="31" fillId="6" borderId="0" xfId="0" applyNumberFormat="1" applyFont="1" applyFill="1" applyAlignment="1" applyProtection="1">
      <alignment horizontal="right"/>
    </xf>
    <xf numFmtId="0" fontId="81" fillId="6" borderId="0" xfId="0" applyFont="1" applyFill="1" applyBorder="1" applyAlignment="1" applyProtection="1">
      <alignment horizontal="justify" vertical="top" wrapText="1"/>
    </xf>
    <xf numFmtId="0" fontId="31" fillId="6" borderId="37" xfId="0" applyFont="1" applyFill="1" applyBorder="1" applyAlignment="1" applyProtection="1">
      <alignment horizontal="center"/>
    </xf>
  </cellXfs>
  <cellStyles count="417">
    <cellStyle name="20% - Ênfase1 2" xfId="12"/>
    <cellStyle name="20% - Ênfase2 2" xfId="13"/>
    <cellStyle name="20% - Ênfase3 2" xfId="14"/>
    <cellStyle name="20% - Ênfase4 2" xfId="15"/>
    <cellStyle name="20% - Ênfase5 2" xfId="16"/>
    <cellStyle name="20% - Ênfase6 2" xfId="17"/>
    <cellStyle name="40% - Ênfase1 2" xfId="18"/>
    <cellStyle name="40% - Ênfase2 2" xfId="19"/>
    <cellStyle name="40% - Ênfase3 2" xfId="20"/>
    <cellStyle name="40% - Ênfase4 2" xfId="21"/>
    <cellStyle name="40% - Ênfase5 2" xfId="22"/>
    <cellStyle name="40% - Ênfase6 2" xfId="23"/>
    <cellStyle name="60% - Ênfase1 2" xfId="24"/>
    <cellStyle name="60% - Ênfase2 2" xfId="25"/>
    <cellStyle name="60% - Ênfase3 2" xfId="26"/>
    <cellStyle name="60% - Ênfase4 2" xfId="27"/>
    <cellStyle name="60% - Ênfase5 2" xfId="28"/>
    <cellStyle name="60% - Ênfase6 2" xfId="29"/>
    <cellStyle name="Bom 2" xfId="30"/>
    <cellStyle name="Cálculo 2" xfId="31"/>
    <cellStyle name="Célula de Verificação 2" xfId="32"/>
    <cellStyle name="Célula Vinculada 2" xfId="33"/>
    <cellStyle name="Comma0" xfId="74"/>
    <cellStyle name="Currency0" xfId="75"/>
    <cellStyle name="Data" xfId="34"/>
    <cellStyle name="Date" xfId="76"/>
    <cellStyle name="Ênfase1 2" xfId="35"/>
    <cellStyle name="Ênfase2 2" xfId="36"/>
    <cellStyle name="Ênfase3 2" xfId="37"/>
    <cellStyle name="Ênfase4 2" xfId="38"/>
    <cellStyle name="Ênfase5 2" xfId="39"/>
    <cellStyle name="Ênfase6 2" xfId="40"/>
    <cellStyle name="Entrada 2" xfId="41"/>
    <cellStyle name="Euro" xfId="42"/>
    <cellStyle name="Excel Built-in Normal" xfId="128"/>
    <cellStyle name="Fixed" xfId="77"/>
    <cellStyle name="Fixo" xfId="43"/>
    <cellStyle name="Heading 1" xfId="78"/>
    <cellStyle name="Heading 2" xfId="79"/>
    <cellStyle name="Hyperlink 2" xfId="80"/>
    <cellStyle name="Incorreto 2" xfId="44"/>
    <cellStyle name="Moeda 2" xfId="81"/>
    <cellStyle name="Moeda 2 2" xfId="82"/>
    <cellStyle name="Moeda 3" xfId="83"/>
    <cellStyle name="Moeda 4" xfId="84"/>
    <cellStyle name="Moeda_RESUMO DA TABELA SINAPI" xfId="3"/>
    <cellStyle name="Moeda0" xfId="45"/>
    <cellStyle name="Neutra 2" xfId="46"/>
    <cellStyle name="Normal" xfId="0" builtinId="0"/>
    <cellStyle name="Normal 10" xfId="85"/>
    <cellStyle name="Normal 10 10" xfId="171"/>
    <cellStyle name="Normal 10 11" xfId="172"/>
    <cellStyle name="Normal 10 12" xfId="173"/>
    <cellStyle name="Normal 10 2" xfId="86"/>
    <cellStyle name="Normal 10 2 2" xfId="134"/>
    <cellStyle name="Normal 10 2 3" xfId="174"/>
    <cellStyle name="Normal 10 2 4" xfId="175"/>
    <cellStyle name="Normal 10 2 5" xfId="176"/>
    <cellStyle name="Normal 10 2 6" xfId="177"/>
    <cellStyle name="Normal 10 2 7" xfId="178"/>
    <cellStyle name="Normal 10 2 8" xfId="179"/>
    <cellStyle name="Normal 10 2 9" xfId="180"/>
    <cellStyle name="Normal 10 3" xfId="87"/>
    <cellStyle name="Normal 10 3 2" xfId="135"/>
    <cellStyle name="Normal 10 3 3" xfId="181"/>
    <cellStyle name="Normal 10 3 4" xfId="182"/>
    <cellStyle name="Normal 10 3 5" xfId="183"/>
    <cellStyle name="Normal 10 3 6" xfId="184"/>
    <cellStyle name="Normal 10 3 7" xfId="185"/>
    <cellStyle name="Normal 10 3 8" xfId="186"/>
    <cellStyle name="Normal 10 3 9" xfId="187"/>
    <cellStyle name="Normal 10 4" xfId="88"/>
    <cellStyle name="Normal 10 5" xfId="133"/>
    <cellStyle name="Normal 10 6" xfId="188"/>
    <cellStyle name="Normal 10 7" xfId="189"/>
    <cellStyle name="Normal 10 8" xfId="190"/>
    <cellStyle name="Normal 10 9" xfId="191"/>
    <cellStyle name="Normal 11" xfId="89"/>
    <cellStyle name="Normal 11 10" xfId="192"/>
    <cellStyle name="Normal 11 2" xfId="90"/>
    <cellStyle name="Normal 11 3" xfId="136"/>
    <cellStyle name="Normal 11 4" xfId="193"/>
    <cellStyle name="Normal 11 5" xfId="194"/>
    <cellStyle name="Normal 11 6" xfId="195"/>
    <cellStyle name="Normal 11 7" xfId="196"/>
    <cellStyle name="Normal 11 8" xfId="197"/>
    <cellStyle name="Normal 11 9" xfId="198"/>
    <cellStyle name="Normal 12" xfId="91"/>
    <cellStyle name="Normal 12 2" xfId="137"/>
    <cellStyle name="Normal 12 3" xfId="199"/>
    <cellStyle name="Normal 12 4" xfId="200"/>
    <cellStyle name="Normal 12 5" xfId="201"/>
    <cellStyle name="Normal 12 6" xfId="202"/>
    <cellStyle name="Normal 12 7" xfId="203"/>
    <cellStyle name="Normal 12 8" xfId="204"/>
    <cellStyle name="Normal 12 9" xfId="205"/>
    <cellStyle name="Normal 13" xfId="92"/>
    <cellStyle name="Normal 14" xfId="93"/>
    <cellStyle name="Normal 15" xfId="94"/>
    <cellStyle name="Normal 16" xfId="120"/>
    <cellStyle name="Normal 16 2" xfId="138"/>
    <cellStyle name="Normal 16 3" xfId="206"/>
    <cellStyle name="Normal 16 4" xfId="207"/>
    <cellStyle name="Normal 16 5" xfId="208"/>
    <cellStyle name="Normal 16 6" xfId="209"/>
    <cellStyle name="Normal 16 7" xfId="210"/>
    <cellStyle name="Normal 16 8" xfId="211"/>
    <cellStyle name="Normal 16 9" xfId="212"/>
    <cellStyle name="Normal 17" xfId="122"/>
    <cellStyle name="Normal 17 10" xfId="213"/>
    <cellStyle name="Normal 17 2" xfId="125"/>
    <cellStyle name="Normal 17 3" xfId="139"/>
    <cellStyle name="Normal 17 4" xfId="214"/>
    <cellStyle name="Normal 17 5" xfId="215"/>
    <cellStyle name="Normal 17 6" xfId="216"/>
    <cellStyle name="Normal 17 7" xfId="217"/>
    <cellStyle name="Normal 17 8" xfId="218"/>
    <cellStyle name="Normal 17 9" xfId="219"/>
    <cellStyle name="Normal 18" xfId="129"/>
    <cellStyle name="Normal 19" xfId="168"/>
    <cellStyle name="Normal 19 2" xfId="220"/>
    <cellStyle name="Normal 19 3" xfId="221"/>
    <cellStyle name="Normal 19 4" xfId="222"/>
    <cellStyle name="Normal 19 5" xfId="223"/>
    <cellStyle name="Normal 19 6" xfId="224"/>
    <cellStyle name="Normal 19 7" xfId="225"/>
    <cellStyle name="Normal 19 8" xfId="226"/>
    <cellStyle name="Normal 19 9" xfId="227"/>
    <cellStyle name="Normal 2" xfId="4"/>
    <cellStyle name="Normal 2 10" xfId="228"/>
    <cellStyle name="Normal 2 11" xfId="229"/>
    <cellStyle name="Normal 2 12" xfId="230"/>
    <cellStyle name="Normal 2 13" xfId="231"/>
    <cellStyle name="Normal 2 14" xfId="232"/>
    <cellStyle name="Normal 2 2" xfId="5"/>
    <cellStyle name="Normal 2 2 10" xfId="233"/>
    <cellStyle name="Normal 2 2 11" xfId="234"/>
    <cellStyle name="Normal 2 2 2" xfId="72"/>
    <cellStyle name="Normal 2 2 2 2" xfId="142"/>
    <cellStyle name="Normal 2 2 2 3" xfId="235"/>
    <cellStyle name="Normal 2 2 2 4" xfId="236"/>
    <cellStyle name="Normal 2 2 2 5" xfId="237"/>
    <cellStyle name="Normal 2 2 2 6" xfId="238"/>
    <cellStyle name="Normal 2 2 2 7" xfId="239"/>
    <cellStyle name="Normal 2 2 2 8" xfId="240"/>
    <cellStyle name="Normal 2 2 2 9" xfId="241"/>
    <cellStyle name="Normal 2 2 3" xfId="73"/>
    <cellStyle name="Normal 2 2 4" xfId="141"/>
    <cellStyle name="Normal 2 2 5" xfId="242"/>
    <cellStyle name="Normal 2 2 6" xfId="243"/>
    <cellStyle name="Normal 2 2 7" xfId="244"/>
    <cellStyle name="Normal 2 2 8" xfId="245"/>
    <cellStyle name="Normal 2 2 9" xfId="246"/>
    <cellStyle name="Normal 2 3" xfId="67"/>
    <cellStyle name="Normal 2 4" xfId="95"/>
    <cellStyle name="Normal 2 5" xfId="121"/>
    <cellStyle name="Normal 2 5 2" xfId="143"/>
    <cellStyle name="Normal 2 5 3" xfId="247"/>
    <cellStyle name="Normal 2 5 4" xfId="248"/>
    <cellStyle name="Normal 2 5 5" xfId="249"/>
    <cellStyle name="Normal 2 5 6" xfId="250"/>
    <cellStyle name="Normal 2 5 7" xfId="251"/>
    <cellStyle name="Normal 2 5 8" xfId="252"/>
    <cellStyle name="Normal 2 5 9" xfId="253"/>
    <cellStyle name="Normal 2 6" xfId="124"/>
    <cellStyle name="Normal 2 6 2" xfId="144"/>
    <cellStyle name="Normal 2 6 3" xfId="254"/>
    <cellStyle name="Normal 2 6 4" xfId="255"/>
    <cellStyle name="Normal 2 6 5" xfId="256"/>
    <cellStyle name="Normal 2 6 6" xfId="257"/>
    <cellStyle name="Normal 2 6 7" xfId="258"/>
    <cellStyle name="Normal 2 6 8" xfId="259"/>
    <cellStyle name="Normal 2 6 9" xfId="260"/>
    <cellStyle name="Normal 2 7" xfId="140"/>
    <cellStyle name="Normal 2 8" xfId="261"/>
    <cellStyle name="Normal 2 9" xfId="262"/>
    <cellStyle name="Normal 20" xfId="169"/>
    <cellStyle name="Normal 3" xfId="7"/>
    <cellStyle name="Normal 3 10" xfId="263"/>
    <cellStyle name="Normal 3 11" xfId="264"/>
    <cellStyle name="Normal 3 2" xfId="47"/>
    <cellStyle name="Normal 3 3" xfId="68"/>
    <cellStyle name="Normal 3 4" xfId="145"/>
    <cellStyle name="Normal 3 5" xfId="265"/>
    <cellStyle name="Normal 3 6" xfId="266"/>
    <cellStyle name="Normal 3 7" xfId="267"/>
    <cellStyle name="Normal 3 8" xfId="268"/>
    <cellStyle name="Normal 3 9" xfId="269"/>
    <cellStyle name="Normal 4" xfId="48"/>
    <cellStyle name="Normal 4 2" xfId="49"/>
    <cellStyle name="Normal 4 2 2" xfId="96"/>
    <cellStyle name="Normal 4 2 2 2" xfId="146"/>
    <cellStyle name="Normal 4 2 2 3" xfId="270"/>
    <cellStyle name="Normal 4 2 2 4" xfId="271"/>
    <cellStyle name="Normal 4 2 2 5" xfId="272"/>
    <cellStyle name="Normal 4 2 2 6" xfId="273"/>
    <cellStyle name="Normal 4 2 2 7" xfId="274"/>
    <cellStyle name="Normal 4 2 2 8" xfId="275"/>
    <cellStyle name="Normal 4 2 2 9" xfId="276"/>
    <cellStyle name="Normal 4 2 3" xfId="97"/>
    <cellStyle name="Normal 4 2 3 2" xfId="147"/>
    <cellStyle name="Normal 4 2 3 3" xfId="277"/>
    <cellStyle name="Normal 4 2 3 4" xfId="278"/>
    <cellStyle name="Normal 4 2 3 5" xfId="279"/>
    <cellStyle name="Normal 4 2 3 6" xfId="280"/>
    <cellStyle name="Normal 4 2 3 7" xfId="281"/>
    <cellStyle name="Normal 4 2 3 8" xfId="282"/>
    <cellStyle name="Normal 4 2 3 9" xfId="283"/>
    <cellStyle name="Normal 4 2 4" xfId="98"/>
    <cellStyle name="Normal 4 2 4 2" xfId="148"/>
    <cellStyle name="Normal 4 2 4 3" xfId="284"/>
    <cellStyle name="Normal 4 2 4 4" xfId="285"/>
    <cellStyle name="Normal 4 2 4 5" xfId="286"/>
    <cellStyle name="Normal 4 2 4 6" xfId="287"/>
    <cellStyle name="Normal 4 2 4 7" xfId="288"/>
    <cellStyle name="Normal 4 2 4 8" xfId="289"/>
    <cellStyle name="Normal 4 2 4 9" xfId="290"/>
    <cellStyle name="Normal 4 3" xfId="99"/>
    <cellStyle name="Normal 4 4" xfId="100"/>
    <cellStyle name="Normal 4 5" xfId="131"/>
    <cellStyle name="Normal 5" xfId="50"/>
    <cellStyle name="Normal 5 2" xfId="51"/>
    <cellStyle name="Normal 5 3" xfId="101"/>
    <cellStyle name="Normal 5 3 2" xfId="149"/>
    <cellStyle name="Normal 5 3 3" xfId="291"/>
    <cellStyle name="Normal 5 3 4" xfId="292"/>
    <cellStyle name="Normal 5 3 5" xfId="293"/>
    <cellStyle name="Normal 5 3 6" xfId="294"/>
    <cellStyle name="Normal 5 3 7" xfId="295"/>
    <cellStyle name="Normal 5 3 8" xfId="296"/>
    <cellStyle name="Normal 5 3 9" xfId="297"/>
    <cellStyle name="Normal 5 4" xfId="102"/>
    <cellStyle name="Normal 5 4 2" xfId="150"/>
    <cellStyle name="Normal 5 4 3" xfId="298"/>
    <cellStyle name="Normal 5 4 4" xfId="299"/>
    <cellStyle name="Normal 5 4 5" xfId="300"/>
    <cellStyle name="Normal 5 4 6" xfId="301"/>
    <cellStyle name="Normal 5 4 7" xfId="302"/>
    <cellStyle name="Normal 5 4 8" xfId="303"/>
    <cellStyle name="Normal 5 4 9" xfId="304"/>
    <cellStyle name="Normal 6" xfId="52"/>
    <cellStyle name="Normal 6 10" xfId="305"/>
    <cellStyle name="Normal 6 2" xfId="10"/>
    <cellStyle name="Normal 6 2 2" xfId="152"/>
    <cellStyle name="Normal 6 2 3" xfId="306"/>
    <cellStyle name="Normal 6 2 4" xfId="307"/>
    <cellStyle name="Normal 6 2 5" xfId="308"/>
    <cellStyle name="Normal 6 2 6" xfId="309"/>
    <cellStyle name="Normal 6 2 7" xfId="310"/>
    <cellStyle name="Normal 6 2 8" xfId="311"/>
    <cellStyle name="Normal 6 2 9" xfId="312"/>
    <cellStyle name="Normal 6 3" xfId="151"/>
    <cellStyle name="Normal 6 4" xfId="313"/>
    <cellStyle name="Normal 6 5" xfId="314"/>
    <cellStyle name="Normal 6 6" xfId="315"/>
    <cellStyle name="Normal 6 7" xfId="316"/>
    <cellStyle name="Normal 6 8" xfId="317"/>
    <cellStyle name="Normal 6 9" xfId="318"/>
    <cellStyle name="Normal 7" xfId="53"/>
    <cellStyle name="Normal 7 10" xfId="319"/>
    <cellStyle name="Normal 7 2" xfId="103"/>
    <cellStyle name="Normal 7 3" xfId="153"/>
    <cellStyle name="Normal 7 4" xfId="320"/>
    <cellStyle name="Normal 7 5" xfId="321"/>
    <cellStyle name="Normal 7 6" xfId="322"/>
    <cellStyle name="Normal 7 7" xfId="323"/>
    <cellStyle name="Normal 7 8" xfId="324"/>
    <cellStyle name="Normal 7 9" xfId="325"/>
    <cellStyle name="Normal 8" xfId="69"/>
    <cellStyle name="Normal 8 2" xfId="104"/>
    <cellStyle name="Normal 9" xfId="70"/>
    <cellStyle name="Normal 9 10" xfId="326"/>
    <cellStyle name="Normal 9 2" xfId="105"/>
    <cellStyle name="Normal 9 3" xfId="154"/>
    <cellStyle name="Normal 9 4" xfId="327"/>
    <cellStyle name="Normal 9 5" xfId="328"/>
    <cellStyle name="Normal 9 6" xfId="329"/>
    <cellStyle name="Normal 9 7" xfId="330"/>
    <cellStyle name="Normal 9 8" xfId="331"/>
    <cellStyle name="Normal 9 9" xfId="332"/>
    <cellStyle name="Normal_RESUMO DA TABELA SINAPI" xfId="2"/>
    <cellStyle name="Nota 2" xfId="54"/>
    <cellStyle name="Porcentagem" xfId="127" builtinId="5"/>
    <cellStyle name="Porcentagem 12" xfId="106"/>
    <cellStyle name="Porcentagem 12 10" xfId="333"/>
    <cellStyle name="Porcentagem 12 11" xfId="334"/>
    <cellStyle name="Porcentagem 12 2" xfId="107"/>
    <cellStyle name="Porcentagem 12 3" xfId="108"/>
    <cellStyle name="Porcentagem 12 3 2" xfId="156"/>
    <cellStyle name="Porcentagem 12 3 3" xfId="335"/>
    <cellStyle name="Porcentagem 12 3 4" xfId="336"/>
    <cellStyle name="Porcentagem 12 3 5" xfId="337"/>
    <cellStyle name="Porcentagem 12 3 6" xfId="338"/>
    <cellStyle name="Porcentagem 12 3 7" xfId="339"/>
    <cellStyle name="Porcentagem 12 3 8" xfId="340"/>
    <cellStyle name="Porcentagem 12 3 9" xfId="341"/>
    <cellStyle name="Porcentagem 12 4" xfId="155"/>
    <cellStyle name="Porcentagem 12 5" xfId="342"/>
    <cellStyle name="Porcentagem 12 6" xfId="343"/>
    <cellStyle name="Porcentagem 12 7" xfId="344"/>
    <cellStyle name="Porcentagem 12 8" xfId="345"/>
    <cellStyle name="Porcentagem 12 9" xfId="346"/>
    <cellStyle name="Porcentagem 2" xfId="6"/>
    <cellStyle name="Porcentagem 2 10" xfId="347"/>
    <cellStyle name="Porcentagem 2 2" xfId="109"/>
    <cellStyle name="Porcentagem 2 3" xfId="157"/>
    <cellStyle name="Porcentagem 2 4" xfId="348"/>
    <cellStyle name="Porcentagem 2 5" xfId="349"/>
    <cellStyle name="Porcentagem 2 6" xfId="350"/>
    <cellStyle name="Porcentagem 2 7" xfId="351"/>
    <cellStyle name="Porcentagem 2 8" xfId="352"/>
    <cellStyle name="Porcentagem 2 9" xfId="353"/>
    <cellStyle name="Porcentagem 3" xfId="9"/>
    <cellStyle name="Porcentagem 3 10" xfId="354"/>
    <cellStyle name="Porcentagem 3 2" xfId="11"/>
    <cellStyle name="Porcentagem 3 2 2" xfId="159"/>
    <cellStyle name="Porcentagem 3 2 3" xfId="355"/>
    <cellStyle name="Porcentagem 3 2 4" xfId="356"/>
    <cellStyle name="Porcentagem 3 2 5" xfId="357"/>
    <cellStyle name="Porcentagem 3 2 6" xfId="358"/>
    <cellStyle name="Porcentagem 3 2 7" xfId="359"/>
    <cellStyle name="Porcentagem 3 2 8" xfId="360"/>
    <cellStyle name="Porcentagem 3 2 9" xfId="361"/>
    <cellStyle name="Porcentagem 3 3" xfId="158"/>
    <cellStyle name="Porcentagem 3 4" xfId="362"/>
    <cellStyle name="Porcentagem 3 5" xfId="363"/>
    <cellStyle name="Porcentagem 3 6" xfId="364"/>
    <cellStyle name="Porcentagem 3 7" xfId="365"/>
    <cellStyle name="Porcentagem 3 8" xfId="366"/>
    <cellStyle name="Porcentagem 3 9" xfId="367"/>
    <cellStyle name="Porcentagem 4" xfId="110"/>
    <cellStyle name="Porcentagem 5" xfId="111"/>
    <cellStyle name="Porcentagem 5 2" xfId="160"/>
    <cellStyle name="Porcentagem 5 3" xfId="368"/>
    <cellStyle name="Porcentagem 5 4" xfId="369"/>
    <cellStyle name="Porcentagem 5 5" xfId="370"/>
    <cellStyle name="Porcentagem 5 6" xfId="371"/>
    <cellStyle name="Porcentagem 5 7" xfId="372"/>
    <cellStyle name="Porcentagem 5 8" xfId="373"/>
    <cellStyle name="Porcentagem 5 9" xfId="374"/>
    <cellStyle name="Porcentagem 6" xfId="123"/>
    <cellStyle name="Porcentagem 6 10" xfId="375"/>
    <cellStyle name="Porcentagem 6 2" xfId="126"/>
    <cellStyle name="Porcentagem 6 3" xfId="161"/>
    <cellStyle name="Porcentagem 6 4" xfId="376"/>
    <cellStyle name="Porcentagem 6 5" xfId="377"/>
    <cellStyle name="Porcentagem 6 6" xfId="378"/>
    <cellStyle name="Porcentagem 6 7" xfId="379"/>
    <cellStyle name="Porcentagem 6 8" xfId="380"/>
    <cellStyle name="Porcentagem 6 9" xfId="381"/>
    <cellStyle name="Saída 2" xfId="55"/>
    <cellStyle name="Separador de milhares" xfId="1" builtinId="3"/>
    <cellStyle name="Separador de milhares 12" xfId="130"/>
    <cellStyle name="Separador de milhares 2" xfId="8"/>
    <cellStyle name="Separador de milhares 2 10" xfId="382"/>
    <cellStyle name="Separador de milhares 2 11" xfId="383"/>
    <cellStyle name="Separador de milhares 2 2" xfId="112"/>
    <cellStyle name="Separador de milhares 2 2 2" xfId="163"/>
    <cellStyle name="Separador de milhares 2 2 3" xfId="384"/>
    <cellStyle name="Separador de milhares 2 2 4" xfId="385"/>
    <cellStyle name="Separador de milhares 2 2 5" xfId="386"/>
    <cellStyle name="Separador de milhares 2 2 6" xfId="387"/>
    <cellStyle name="Separador de milhares 2 2 7" xfId="388"/>
    <cellStyle name="Separador de milhares 2 2 8" xfId="389"/>
    <cellStyle name="Separador de milhares 2 2 9" xfId="390"/>
    <cellStyle name="Separador de milhares 2 3" xfId="113"/>
    <cellStyle name="Separador de milhares 2 3 2" xfId="164"/>
    <cellStyle name="Separador de milhares 2 3 3" xfId="391"/>
    <cellStyle name="Separador de milhares 2 3 4" xfId="392"/>
    <cellStyle name="Separador de milhares 2 3 5" xfId="393"/>
    <cellStyle name="Separador de milhares 2 3 6" xfId="394"/>
    <cellStyle name="Separador de milhares 2 3 7" xfId="395"/>
    <cellStyle name="Separador de milhares 2 3 8" xfId="396"/>
    <cellStyle name="Separador de milhares 2 3 9" xfId="397"/>
    <cellStyle name="Separador de milhares 2 4" xfId="162"/>
    <cellStyle name="Separador de milhares 2 5" xfId="398"/>
    <cellStyle name="Separador de milhares 2 6" xfId="399"/>
    <cellStyle name="Separador de milhares 2 7" xfId="400"/>
    <cellStyle name="Separador de milhares 2 8" xfId="401"/>
    <cellStyle name="Separador de milhares 2 9" xfId="402"/>
    <cellStyle name="Separador de milhares 3" xfId="114"/>
    <cellStyle name="Separador de milhares 4" xfId="115"/>
    <cellStyle name="Separador de milhares 5" xfId="116"/>
    <cellStyle name="Separador de milhares 6" xfId="117"/>
    <cellStyle name="Separador de milhares 6 2" xfId="165"/>
    <cellStyle name="Separador de milhares 6 3" xfId="403"/>
    <cellStyle name="Separador de milhares 6 4" xfId="404"/>
    <cellStyle name="Separador de milhares 6 5" xfId="405"/>
    <cellStyle name="Separador de milhares 6 6" xfId="406"/>
    <cellStyle name="Separador de milhares 6 7" xfId="407"/>
    <cellStyle name="Separador de milhares 6 8" xfId="408"/>
    <cellStyle name="Separador de milhares 6 9" xfId="409"/>
    <cellStyle name="Separador de milhares 7" xfId="119"/>
    <cellStyle name="Separador de milhares 8" xfId="132"/>
    <cellStyle name="Separador de milhares_RESUMO DA TABELA SINAPI 2" xfId="167"/>
    <cellStyle name="Separador de milhares_RESUMO DA TABELA SINAPI 2 2" xfId="170"/>
    <cellStyle name="Texto de Aviso 2" xfId="56"/>
    <cellStyle name="Texto Explicativo 2" xfId="57"/>
    <cellStyle name="Título 1 1" xfId="118"/>
    <cellStyle name="Título 1 2" xfId="58"/>
    <cellStyle name="Título 2 2" xfId="59"/>
    <cellStyle name="Título 3 2" xfId="60"/>
    <cellStyle name="Título 4 2" xfId="61"/>
    <cellStyle name="Título 5" xfId="62"/>
    <cellStyle name="Total 2" xfId="63"/>
    <cellStyle name="Vírgula 2" xfId="64"/>
    <cellStyle name="Vírgula 3" xfId="65"/>
    <cellStyle name="Vírgula 4" xfId="71"/>
    <cellStyle name="Vírgula 4 2" xfId="166"/>
    <cellStyle name="Vírgula 4 3" xfId="410"/>
    <cellStyle name="Vírgula 4 4" xfId="411"/>
    <cellStyle name="Vírgula 4 5" xfId="412"/>
    <cellStyle name="Vírgula 4 6" xfId="413"/>
    <cellStyle name="Vírgula 4 7" xfId="414"/>
    <cellStyle name="Vírgula 4 8" xfId="415"/>
    <cellStyle name="Vírgula 4 9" xfId="416"/>
    <cellStyle name="Vírgula0" xfId="66"/>
  </cellStyles>
  <dxfs count="6">
    <dxf>
      <font>
        <condense val="0"/>
        <extend val="0"/>
        <color indexed="9"/>
      </font>
    </dxf>
    <dxf>
      <font>
        <color rgb="FFFF0000"/>
      </font>
    </dxf>
    <dxf>
      <font>
        <color theme="0"/>
      </font>
      <fill>
        <patternFill>
          <bgColor theme="0"/>
        </patternFill>
      </fill>
    </dxf>
    <dxf>
      <font>
        <b/>
        <i val="0"/>
        <condense val="0"/>
        <extend val="0"/>
        <color indexed="10"/>
      </font>
    </dxf>
    <dxf>
      <font>
        <b/>
        <i val="0"/>
        <condense val="0"/>
        <extend val="0"/>
        <color indexed="10"/>
      </font>
      <fill>
        <patternFill patternType="none">
          <bgColor indexed="65"/>
        </patternFill>
      </fill>
    </dxf>
    <dxf>
      <font>
        <b/>
        <i val="0"/>
        <strike val="0"/>
        <condense val="0"/>
        <extend val="0"/>
        <color indexed="10"/>
      </font>
      <fill>
        <patternFill>
          <bgColor indexed="43"/>
        </patternFill>
      </fill>
    </dxf>
  </dxfs>
  <tableStyles count="0" defaultTableStyle="TableStyleMedium9" defaultPivotStyle="PivotStyleLight16"/>
  <colors>
    <mruColors>
      <color rgb="FFFF6600"/>
      <color rgb="FFFF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externalLink" Target="externalLinks/externalLink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s>
</file>

<file path=xl/drawings/drawing1.xml><?xml version="1.0" encoding="utf-8"?>
<xdr:wsDr xmlns:xdr="http://schemas.openxmlformats.org/drawingml/2006/spreadsheetDrawing" xmlns:a="http://schemas.openxmlformats.org/drawingml/2006/main">
  <xdr:twoCellAnchor>
    <xdr:from>
      <xdr:col>0</xdr:col>
      <xdr:colOff>449140</xdr:colOff>
      <xdr:row>29</xdr:row>
      <xdr:rowOff>90123</xdr:rowOff>
    </xdr:from>
    <xdr:to>
      <xdr:col>1</xdr:col>
      <xdr:colOff>2083044</xdr:colOff>
      <xdr:row>32</xdr:row>
      <xdr:rowOff>102577</xdr:rowOff>
    </xdr:to>
    <xdr:sp macro="" textlink="">
      <xdr:nvSpPr>
        <xdr:cNvPr id="2" name="Caixa de Texto 2"/>
        <xdr:cNvSpPr txBox="1">
          <a:spLocks noChangeArrowheads="1"/>
        </xdr:cNvSpPr>
      </xdr:nvSpPr>
      <xdr:spPr bwMode="auto">
        <a:xfrm>
          <a:off x="449140" y="5071698"/>
          <a:ext cx="2272079" cy="469654"/>
        </a:xfrm>
        <a:prstGeom prst="rect">
          <a:avLst/>
        </a:prstGeom>
        <a:solidFill>
          <a:srgbClr val="FFFFFF"/>
        </a:solidFill>
        <a:ln w="9525">
          <a:solidFill>
            <a:srgbClr val="000000"/>
          </a:solidFill>
          <a:miter lim="800000"/>
          <a:headEnd/>
          <a:tailEnd/>
        </a:ln>
      </xdr:spPr>
      <xdr:txBody>
        <a:bodyPr vertOverflow="clip" wrap="square" lIns="91440" tIns="45720" rIns="91440" bIns="45720" anchor="t" upright="1"/>
        <a:lstStyle/>
        <a:p>
          <a:pPr algn="l" rtl="0">
            <a:lnSpc>
              <a:spcPts val="1100"/>
            </a:lnSpc>
            <a:defRPr sz="1000"/>
          </a:pPr>
          <a:r>
            <a:rPr lang="pt-BR" sz="1000" b="1" i="0" u="none" strike="noStrike" baseline="0">
              <a:solidFill>
                <a:srgbClr val="000000"/>
              </a:solidFill>
              <a:latin typeface="Times New Roman"/>
              <a:cs typeface="Times New Roman"/>
            </a:rPr>
            <a:t>BDI = </a:t>
          </a:r>
          <a:r>
            <a:rPr lang="pt-BR" sz="1000" b="0" i="0" u="sng" strike="noStrike" baseline="0">
              <a:solidFill>
                <a:srgbClr val="000000"/>
              </a:solidFill>
              <a:latin typeface="Times New Roman"/>
              <a:cs typeface="Times New Roman"/>
            </a:rPr>
            <a:t>(1+AC+S+R+G)(1+DF)(1+L</a:t>
          </a:r>
          <a:r>
            <a:rPr lang="pt-BR" sz="1000" b="0" i="0" u="none" strike="noStrike" baseline="0">
              <a:solidFill>
                <a:srgbClr val="000000"/>
              </a:solidFill>
              <a:latin typeface="Times New Roman"/>
              <a:cs typeface="Times New Roman"/>
            </a:rPr>
            <a:t>) - 1</a:t>
          </a:r>
        </a:p>
        <a:p>
          <a:pPr algn="l" rtl="0">
            <a:lnSpc>
              <a:spcPts val="1200"/>
            </a:lnSpc>
            <a:defRPr sz="1000"/>
          </a:pPr>
          <a:r>
            <a:rPr lang="pt-BR" sz="1100" b="0" i="0" u="none" strike="noStrike" baseline="0">
              <a:solidFill>
                <a:srgbClr val="000000"/>
              </a:solidFill>
              <a:latin typeface="Times New Roman"/>
              <a:cs typeface="Times New Roman"/>
            </a:rPr>
            <a:t>                        (1-I)</a:t>
          </a:r>
        </a:p>
        <a:p>
          <a:pPr algn="l" rtl="0">
            <a:defRPr sz="1000"/>
          </a:pPr>
          <a:endParaRPr lang="pt-BR" sz="1100" b="0" i="0" u="none" strike="noStrike" baseline="0">
            <a:solidFill>
              <a:srgbClr val="000000"/>
            </a:solidFill>
            <a:latin typeface="Times New Roman"/>
            <a:cs typeface="Times New Roman"/>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JETOS/COPA/Av.%20Anita/Grupo/CRIST&#211;V&#195;O/or&#231;amento%20Crist&#243;v&#227;o%2022-0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PROJETOS\COPA\Av.%20Anita\Grupo\CRIST&#211;V&#195;O\or&#231;amento%20Crist&#243;v&#227;o%2022-0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PROJETOS\COPA\Av.%20Anita\Grupo\CRIST&#211;V&#195;O\or&#231;amento%20Crist&#243;v&#227;o%2022-0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Users\felipec\Documents\2-Projetos\Organizar%20310514\Mobilidade\Or&#231;amento\PAC_OR&#199;AMENTO_E_CRONOGRAMA_20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felipec/Documents/2-Projetos/Organizar%20310514/Mobilidade/Or&#231;amento/PAC_OR&#199;AMENTO_E_CRONOGRAMA_2013.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appia/1-PROJETOS/217%20-%20PM%20Presidente%20Lucena/01%20-%20Arquivos%20Recebidos/06.%20PM_Planilha%20(06022018)/AN&#193;LISE%20PLANILHA%20SINAPI%20(1).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omparativo Av. Cristóvão"/>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Comparativo Av. Cristóvão"/>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Comparativo Av. Cristóvão"/>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PLS"/>
      <sheetName val="BD"/>
      <sheetName val="RE"/>
      <sheetName val="REFF"/>
      <sheetName val="REL PAG"/>
      <sheetName val="REL BENS"/>
      <sheetName val="OFÍCIO"/>
      <sheetName val="ALVORADA_ORÇAMENTO"/>
      <sheetName val="CRONOGRAMA"/>
      <sheetName val="ALVORADA_VIADUTO"/>
      <sheetName val="ALVORADA_"/>
      <sheetName val="MEDIÇÃO RETIFICADA"/>
      <sheetName val="Planilha15"/>
      <sheetName val="OFICIO"/>
      <sheetName val="RESUMO EMPREENDIMENTO"/>
      <sheetName val="BOLETIM"/>
    </sheetNames>
    <sheetDataSet>
      <sheetData sheetId="0" refreshError="1"/>
      <sheetData sheetId="1" refreshError="1"/>
      <sheetData sheetId="2">
        <row r="13">
          <cell r="B13">
            <v>1</v>
          </cell>
          <cell r="C13" t="str">
            <v>Construção de Pavilhão 01</v>
          </cell>
          <cell r="E13">
            <v>100</v>
          </cell>
          <cell r="F13">
            <v>538043.25</v>
          </cell>
          <cell r="G13">
            <v>525919.56999999995</v>
          </cell>
          <cell r="H13">
            <v>525919.56999999995</v>
          </cell>
          <cell r="I13">
            <v>525919.56999999995</v>
          </cell>
          <cell r="J13">
            <v>239020.62</v>
          </cell>
          <cell r="K13" t="e">
            <v>#REF!</v>
          </cell>
          <cell r="L13">
            <v>239020.62</v>
          </cell>
          <cell r="M13">
            <v>7.86</v>
          </cell>
          <cell r="N13">
            <v>44.424053270810475</v>
          </cell>
          <cell r="O13">
            <v>45.448131926332394</v>
          </cell>
          <cell r="P13">
            <v>45.448131926332394</v>
          </cell>
        </row>
        <row r="14">
          <cell r="E14">
            <v>0</v>
          </cell>
          <cell r="H14">
            <v>0</v>
          </cell>
          <cell r="I14">
            <v>0</v>
          </cell>
          <cell r="K14" t="e">
            <v>#REF!</v>
          </cell>
          <cell r="N14">
            <v>0</v>
          </cell>
          <cell r="O14">
            <v>0</v>
          </cell>
          <cell r="P14">
            <v>0</v>
          </cell>
        </row>
        <row r="15">
          <cell r="E15">
            <v>0</v>
          </cell>
          <cell r="H15">
            <v>0</v>
          </cell>
          <cell r="I15">
            <v>0</v>
          </cell>
          <cell r="K15" t="e">
            <v>#REF!</v>
          </cell>
          <cell r="N15">
            <v>0</v>
          </cell>
          <cell r="O15">
            <v>0</v>
          </cell>
          <cell r="P15">
            <v>0</v>
          </cell>
        </row>
        <row r="16">
          <cell r="E16">
            <v>0</v>
          </cell>
          <cell r="H16">
            <v>0</v>
          </cell>
          <cell r="I16">
            <v>0</v>
          </cell>
          <cell r="K16" t="e">
            <v>#REF!</v>
          </cell>
          <cell r="N16">
            <v>0</v>
          </cell>
          <cell r="O16">
            <v>0</v>
          </cell>
          <cell r="P16">
            <v>0</v>
          </cell>
        </row>
        <row r="17">
          <cell r="E17">
            <v>0</v>
          </cell>
          <cell r="H17">
            <v>0</v>
          </cell>
          <cell r="I17">
            <v>0</v>
          </cell>
          <cell r="K17" t="e">
            <v>#REF!</v>
          </cell>
          <cell r="N17">
            <v>0</v>
          </cell>
          <cell r="O17">
            <v>0</v>
          </cell>
          <cell r="P17">
            <v>0</v>
          </cell>
        </row>
        <row r="18">
          <cell r="E18">
            <v>0</v>
          </cell>
          <cell r="H18">
            <v>0</v>
          </cell>
          <cell r="I18">
            <v>0</v>
          </cell>
          <cell r="K18" t="e">
            <v>#REF!</v>
          </cell>
          <cell r="N18">
            <v>0</v>
          </cell>
          <cell r="O18">
            <v>0</v>
          </cell>
          <cell r="P18">
            <v>0</v>
          </cell>
        </row>
        <row r="19">
          <cell r="E19">
            <v>0</v>
          </cell>
          <cell r="H19">
            <v>0</v>
          </cell>
          <cell r="I19">
            <v>0</v>
          </cell>
          <cell r="K19" t="e">
            <v>#REF!</v>
          </cell>
          <cell r="N19">
            <v>0</v>
          </cell>
          <cell r="O19">
            <v>0</v>
          </cell>
          <cell r="P19">
            <v>0</v>
          </cell>
        </row>
        <row r="20">
          <cell r="E20">
            <v>0</v>
          </cell>
          <cell r="H20">
            <v>0</v>
          </cell>
          <cell r="I20">
            <v>0</v>
          </cell>
          <cell r="K20" t="e">
            <v>#REF!</v>
          </cell>
          <cell r="N20">
            <v>0</v>
          </cell>
          <cell r="O20">
            <v>0</v>
          </cell>
          <cell r="P20">
            <v>0</v>
          </cell>
        </row>
        <row r="21">
          <cell r="E21">
            <v>0</v>
          </cell>
          <cell r="H21">
            <v>0</v>
          </cell>
          <cell r="I21">
            <v>0</v>
          </cell>
          <cell r="K21" t="e">
            <v>#REF!</v>
          </cell>
          <cell r="N21">
            <v>0</v>
          </cell>
          <cell r="O21">
            <v>0</v>
          </cell>
          <cell r="P21">
            <v>0</v>
          </cell>
        </row>
        <row r="22">
          <cell r="E22">
            <v>0</v>
          </cell>
          <cell r="H22">
            <v>0</v>
          </cell>
          <cell r="I22">
            <v>0</v>
          </cell>
          <cell r="K22" t="e">
            <v>#REF!</v>
          </cell>
          <cell r="N22">
            <v>0</v>
          </cell>
          <cell r="O22">
            <v>0</v>
          </cell>
          <cell r="P22">
            <v>0</v>
          </cell>
        </row>
        <row r="23">
          <cell r="E23">
            <v>0</v>
          </cell>
          <cell r="H23">
            <v>0</v>
          </cell>
          <cell r="I23">
            <v>0</v>
          </cell>
          <cell r="K23" t="e">
            <v>#REF!</v>
          </cell>
          <cell r="N23">
            <v>0</v>
          </cell>
          <cell r="O23">
            <v>0</v>
          </cell>
          <cell r="P23">
            <v>0</v>
          </cell>
        </row>
        <row r="24">
          <cell r="E24">
            <v>0</v>
          </cell>
          <cell r="H24">
            <v>0</v>
          </cell>
          <cell r="I24">
            <v>0</v>
          </cell>
          <cell r="K24" t="e">
            <v>#REF!</v>
          </cell>
          <cell r="N24">
            <v>0</v>
          </cell>
          <cell r="O24">
            <v>0</v>
          </cell>
          <cell r="P24">
            <v>0</v>
          </cell>
        </row>
        <row r="25">
          <cell r="B25" t="str">
            <v>TOTAL OBRAS</v>
          </cell>
          <cell r="E25">
            <v>100</v>
          </cell>
          <cell r="F25">
            <v>538043.25</v>
          </cell>
          <cell r="G25">
            <v>525919.56999999995</v>
          </cell>
          <cell r="H25">
            <v>525919.56999999995</v>
          </cell>
          <cell r="I25">
            <v>525919.56999999995</v>
          </cell>
          <cell r="J25">
            <v>239020.62</v>
          </cell>
          <cell r="K25" t="e">
            <v>#REF!</v>
          </cell>
          <cell r="L25">
            <v>239020.62</v>
          </cell>
          <cell r="M25">
            <v>7.86</v>
          </cell>
          <cell r="N25">
            <v>44.424053270810475</v>
          </cell>
          <cell r="O25">
            <v>45.448131926332394</v>
          </cell>
          <cell r="P25">
            <v>45.448131926332394</v>
          </cell>
        </row>
        <row r="26">
          <cell r="E26">
            <v>0</v>
          </cell>
          <cell r="H26">
            <v>0</v>
          </cell>
          <cell r="I26">
            <v>0</v>
          </cell>
          <cell r="K26" t="e">
            <v>#REF!</v>
          </cell>
          <cell r="N26">
            <v>0</v>
          </cell>
          <cell r="O26">
            <v>0</v>
          </cell>
          <cell r="P26">
            <v>0</v>
          </cell>
        </row>
        <row r="27">
          <cell r="E27">
            <v>0</v>
          </cell>
          <cell r="H27">
            <v>0</v>
          </cell>
          <cell r="I27">
            <v>0</v>
          </cell>
          <cell r="K27" t="e">
            <v>#REF!</v>
          </cell>
          <cell r="N27">
            <v>0</v>
          </cell>
          <cell r="O27">
            <v>0</v>
          </cell>
          <cell r="P27">
            <v>0</v>
          </cell>
        </row>
        <row r="28">
          <cell r="E28">
            <v>0</v>
          </cell>
          <cell r="H28">
            <v>0</v>
          </cell>
          <cell r="I28">
            <v>0</v>
          </cell>
          <cell r="K28" t="e">
            <v>#REF!</v>
          </cell>
          <cell r="N28">
            <v>0</v>
          </cell>
          <cell r="O28">
            <v>0</v>
          </cell>
          <cell r="P28">
            <v>0</v>
          </cell>
        </row>
        <row r="29">
          <cell r="E29">
            <v>0</v>
          </cell>
          <cell r="H29">
            <v>0</v>
          </cell>
          <cell r="I29">
            <v>0</v>
          </cell>
          <cell r="K29" t="e">
            <v>#REF!</v>
          </cell>
          <cell r="N29">
            <v>0</v>
          </cell>
          <cell r="O29">
            <v>0</v>
          </cell>
          <cell r="P29">
            <v>0</v>
          </cell>
        </row>
        <row r="30">
          <cell r="E30">
            <v>0</v>
          </cell>
          <cell r="H30">
            <v>0</v>
          </cell>
          <cell r="I30">
            <v>0</v>
          </cell>
          <cell r="K30" t="e">
            <v>#REF!</v>
          </cell>
          <cell r="N30">
            <v>0</v>
          </cell>
          <cell r="O30">
            <v>0</v>
          </cell>
          <cell r="P30">
            <v>0</v>
          </cell>
        </row>
        <row r="31">
          <cell r="E31">
            <v>0</v>
          </cell>
          <cell r="H31">
            <v>0</v>
          </cell>
          <cell r="I31">
            <v>0</v>
          </cell>
          <cell r="K31" t="e">
            <v>#REF!</v>
          </cell>
          <cell r="N31">
            <v>0</v>
          </cell>
          <cell r="O31">
            <v>0</v>
          </cell>
          <cell r="P31">
            <v>0</v>
          </cell>
        </row>
        <row r="32">
          <cell r="E32">
            <v>0</v>
          </cell>
          <cell r="H32">
            <v>0</v>
          </cell>
          <cell r="I32">
            <v>0</v>
          </cell>
          <cell r="K32" t="e">
            <v>#REF!</v>
          </cell>
          <cell r="N32">
            <v>0</v>
          </cell>
          <cell r="O32">
            <v>0</v>
          </cell>
          <cell r="P32">
            <v>0</v>
          </cell>
        </row>
        <row r="33">
          <cell r="E33">
            <v>0</v>
          </cell>
          <cell r="H33">
            <v>0</v>
          </cell>
          <cell r="I33">
            <v>0</v>
          </cell>
          <cell r="K33" t="e">
            <v>#REF!</v>
          </cell>
          <cell r="N33">
            <v>0</v>
          </cell>
          <cell r="O33">
            <v>0</v>
          </cell>
          <cell r="P33">
            <v>0</v>
          </cell>
        </row>
        <row r="34">
          <cell r="E34">
            <v>0</v>
          </cell>
          <cell r="H34">
            <v>0</v>
          </cell>
          <cell r="I34">
            <v>0</v>
          </cell>
          <cell r="K34" t="e">
            <v>#REF!</v>
          </cell>
          <cell r="N34">
            <v>0</v>
          </cell>
          <cell r="O34">
            <v>0</v>
          </cell>
          <cell r="P34">
            <v>0</v>
          </cell>
        </row>
        <row r="35">
          <cell r="E35">
            <v>0</v>
          </cell>
          <cell r="H35">
            <v>0</v>
          </cell>
          <cell r="I35">
            <v>0</v>
          </cell>
          <cell r="K35" t="e">
            <v>#REF!</v>
          </cell>
          <cell r="N35">
            <v>0</v>
          </cell>
          <cell r="O35">
            <v>0</v>
          </cell>
          <cell r="P35">
            <v>0</v>
          </cell>
        </row>
        <row r="36">
          <cell r="E36">
            <v>0</v>
          </cell>
          <cell r="H36">
            <v>0</v>
          </cell>
          <cell r="I36">
            <v>0</v>
          </cell>
          <cell r="K36" t="e">
            <v>#REF!</v>
          </cell>
          <cell r="N36">
            <v>0</v>
          </cell>
          <cell r="O36">
            <v>0</v>
          </cell>
          <cell r="P36">
            <v>0</v>
          </cell>
        </row>
        <row r="37">
          <cell r="E37">
            <v>0</v>
          </cell>
          <cell r="H37">
            <v>0</v>
          </cell>
          <cell r="I37">
            <v>0</v>
          </cell>
          <cell r="K37" t="e">
            <v>#REF!</v>
          </cell>
          <cell r="N37">
            <v>0</v>
          </cell>
          <cell r="O37">
            <v>0</v>
          </cell>
          <cell r="P37">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PLS"/>
      <sheetName val="BD"/>
      <sheetName val="RE"/>
      <sheetName val="REFF"/>
      <sheetName val="REL PAG"/>
      <sheetName val="REL BENS"/>
      <sheetName val="OFÍCIO"/>
      <sheetName val="ALVORADA_ORÇAMENTO"/>
      <sheetName val="CRONOGRAMA"/>
      <sheetName val="ALVORADA_VIADUTO"/>
      <sheetName val="ALVORADA_"/>
      <sheetName val="MEDIÇÃO RETIFICADA"/>
      <sheetName val="Planilha15"/>
      <sheetName val="OFICIO"/>
      <sheetName val="RESUMO EMPREENDIMENTO"/>
      <sheetName val="BOLETIM"/>
    </sheetNames>
    <sheetDataSet>
      <sheetData sheetId="0" refreshError="1"/>
      <sheetData sheetId="1" refreshError="1"/>
      <sheetData sheetId="2">
        <row r="13">
          <cell r="B13">
            <v>1</v>
          </cell>
          <cell r="C13" t="str">
            <v>Construção de Pavilhão 01</v>
          </cell>
          <cell r="E13">
            <v>100</v>
          </cell>
          <cell r="F13">
            <v>538043.25</v>
          </cell>
          <cell r="G13">
            <v>525919.56999999995</v>
          </cell>
          <cell r="H13">
            <v>525919.56999999995</v>
          </cell>
          <cell r="I13">
            <v>525919.56999999995</v>
          </cell>
          <cell r="J13">
            <v>239020.62</v>
          </cell>
          <cell r="K13" t="e">
            <v>#REF!</v>
          </cell>
          <cell r="L13">
            <v>239020.62</v>
          </cell>
          <cell r="M13">
            <v>7.86</v>
          </cell>
          <cell r="N13">
            <v>44.424053270810475</v>
          </cell>
          <cell r="O13">
            <v>45.448131926332394</v>
          </cell>
          <cell r="P13">
            <v>45.448131926332394</v>
          </cell>
        </row>
        <row r="14">
          <cell r="E14">
            <v>0</v>
          </cell>
          <cell r="H14">
            <v>0</v>
          </cell>
          <cell r="I14">
            <v>0</v>
          </cell>
          <cell r="K14" t="e">
            <v>#REF!</v>
          </cell>
          <cell r="N14">
            <v>0</v>
          </cell>
          <cell r="O14">
            <v>0</v>
          </cell>
          <cell r="P14">
            <v>0</v>
          </cell>
        </row>
        <row r="15">
          <cell r="E15">
            <v>0</v>
          </cell>
          <cell r="H15">
            <v>0</v>
          </cell>
          <cell r="I15">
            <v>0</v>
          </cell>
          <cell r="K15" t="e">
            <v>#REF!</v>
          </cell>
          <cell r="N15">
            <v>0</v>
          </cell>
          <cell r="O15">
            <v>0</v>
          </cell>
          <cell r="P15">
            <v>0</v>
          </cell>
        </row>
        <row r="16">
          <cell r="E16">
            <v>0</v>
          </cell>
          <cell r="H16">
            <v>0</v>
          </cell>
          <cell r="I16">
            <v>0</v>
          </cell>
          <cell r="K16" t="e">
            <v>#REF!</v>
          </cell>
          <cell r="N16">
            <v>0</v>
          </cell>
          <cell r="O16">
            <v>0</v>
          </cell>
          <cell r="P16">
            <v>0</v>
          </cell>
        </row>
        <row r="17">
          <cell r="E17">
            <v>0</v>
          </cell>
          <cell r="H17">
            <v>0</v>
          </cell>
          <cell r="I17">
            <v>0</v>
          </cell>
          <cell r="K17" t="e">
            <v>#REF!</v>
          </cell>
          <cell r="N17">
            <v>0</v>
          </cell>
          <cell r="O17">
            <v>0</v>
          </cell>
          <cell r="P17">
            <v>0</v>
          </cell>
        </row>
        <row r="18">
          <cell r="E18">
            <v>0</v>
          </cell>
          <cell r="H18">
            <v>0</v>
          </cell>
          <cell r="I18">
            <v>0</v>
          </cell>
          <cell r="K18" t="e">
            <v>#REF!</v>
          </cell>
          <cell r="N18">
            <v>0</v>
          </cell>
          <cell r="O18">
            <v>0</v>
          </cell>
          <cell r="P18">
            <v>0</v>
          </cell>
        </row>
        <row r="19">
          <cell r="E19">
            <v>0</v>
          </cell>
          <cell r="H19">
            <v>0</v>
          </cell>
          <cell r="I19">
            <v>0</v>
          </cell>
          <cell r="K19" t="e">
            <v>#REF!</v>
          </cell>
          <cell r="N19">
            <v>0</v>
          </cell>
          <cell r="O19">
            <v>0</v>
          </cell>
          <cell r="P19">
            <v>0</v>
          </cell>
        </row>
        <row r="20">
          <cell r="E20">
            <v>0</v>
          </cell>
          <cell r="H20">
            <v>0</v>
          </cell>
          <cell r="I20">
            <v>0</v>
          </cell>
          <cell r="K20" t="e">
            <v>#REF!</v>
          </cell>
          <cell r="N20">
            <v>0</v>
          </cell>
          <cell r="O20">
            <v>0</v>
          </cell>
          <cell r="P20">
            <v>0</v>
          </cell>
        </row>
        <row r="21">
          <cell r="E21">
            <v>0</v>
          </cell>
          <cell r="H21">
            <v>0</v>
          </cell>
          <cell r="I21">
            <v>0</v>
          </cell>
          <cell r="K21" t="e">
            <v>#REF!</v>
          </cell>
          <cell r="N21">
            <v>0</v>
          </cell>
          <cell r="O21">
            <v>0</v>
          </cell>
          <cell r="P21">
            <v>0</v>
          </cell>
        </row>
        <row r="22">
          <cell r="E22">
            <v>0</v>
          </cell>
          <cell r="H22">
            <v>0</v>
          </cell>
          <cell r="I22">
            <v>0</v>
          </cell>
          <cell r="K22" t="e">
            <v>#REF!</v>
          </cell>
          <cell r="N22">
            <v>0</v>
          </cell>
          <cell r="O22">
            <v>0</v>
          </cell>
          <cell r="P22">
            <v>0</v>
          </cell>
        </row>
        <row r="23">
          <cell r="E23">
            <v>0</v>
          </cell>
          <cell r="H23">
            <v>0</v>
          </cell>
          <cell r="I23">
            <v>0</v>
          </cell>
          <cell r="K23" t="e">
            <v>#REF!</v>
          </cell>
          <cell r="N23">
            <v>0</v>
          </cell>
          <cell r="O23">
            <v>0</v>
          </cell>
          <cell r="P23">
            <v>0</v>
          </cell>
        </row>
        <row r="24">
          <cell r="E24">
            <v>0</v>
          </cell>
          <cell r="H24">
            <v>0</v>
          </cell>
          <cell r="I24">
            <v>0</v>
          </cell>
          <cell r="K24" t="e">
            <v>#REF!</v>
          </cell>
          <cell r="N24">
            <v>0</v>
          </cell>
          <cell r="O24">
            <v>0</v>
          </cell>
          <cell r="P24">
            <v>0</v>
          </cell>
        </row>
        <row r="25">
          <cell r="B25" t="str">
            <v>TOTAL OBRAS</v>
          </cell>
          <cell r="E25">
            <v>100</v>
          </cell>
          <cell r="F25">
            <v>538043.25</v>
          </cell>
          <cell r="G25">
            <v>525919.56999999995</v>
          </cell>
          <cell r="H25">
            <v>525919.56999999995</v>
          </cell>
          <cell r="I25">
            <v>525919.56999999995</v>
          </cell>
          <cell r="J25">
            <v>239020.62</v>
          </cell>
          <cell r="K25" t="e">
            <v>#REF!</v>
          </cell>
          <cell r="L25">
            <v>239020.62</v>
          </cell>
          <cell r="M25">
            <v>7.86</v>
          </cell>
          <cell r="N25">
            <v>44.424053270810475</v>
          </cell>
          <cell r="O25">
            <v>45.448131926332394</v>
          </cell>
          <cell r="P25">
            <v>45.448131926332394</v>
          </cell>
        </row>
        <row r="26">
          <cell r="E26">
            <v>0</v>
          </cell>
          <cell r="H26">
            <v>0</v>
          </cell>
          <cell r="I26">
            <v>0</v>
          </cell>
          <cell r="K26" t="e">
            <v>#REF!</v>
          </cell>
          <cell r="N26">
            <v>0</v>
          </cell>
          <cell r="O26">
            <v>0</v>
          </cell>
          <cell r="P26">
            <v>0</v>
          </cell>
        </row>
        <row r="27">
          <cell r="E27">
            <v>0</v>
          </cell>
          <cell r="H27">
            <v>0</v>
          </cell>
          <cell r="I27">
            <v>0</v>
          </cell>
          <cell r="K27" t="e">
            <v>#REF!</v>
          </cell>
          <cell r="N27">
            <v>0</v>
          </cell>
          <cell r="O27">
            <v>0</v>
          </cell>
          <cell r="P27">
            <v>0</v>
          </cell>
        </row>
        <row r="28">
          <cell r="E28">
            <v>0</v>
          </cell>
          <cell r="H28">
            <v>0</v>
          </cell>
          <cell r="I28">
            <v>0</v>
          </cell>
          <cell r="K28" t="e">
            <v>#REF!</v>
          </cell>
          <cell r="N28">
            <v>0</v>
          </cell>
          <cell r="O28">
            <v>0</v>
          </cell>
          <cell r="P28">
            <v>0</v>
          </cell>
        </row>
        <row r="29">
          <cell r="E29">
            <v>0</v>
          </cell>
          <cell r="H29">
            <v>0</v>
          </cell>
          <cell r="I29">
            <v>0</v>
          </cell>
          <cell r="K29" t="e">
            <v>#REF!</v>
          </cell>
          <cell r="N29">
            <v>0</v>
          </cell>
          <cell r="O29">
            <v>0</v>
          </cell>
          <cell r="P29">
            <v>0</v>
          </cell>
        </row>
        <row r="30">
          <cell r="E30">
            <v>0</v>
          </cell>
          <cell r="H30">
            <v>0</v>
          </cell>
          <cell r="I30">
            <v>0</v>
          </cell>
          <cell r="K30" t="e">
            <v>#REF!</v>
          </cell>
          <cell r="N30">
            <v>0</v>
          </cell>
          <cell r="O30">
            <v>0</v>
          </cell>
          <cell r="P30">
            <v>0</v>
          </cell>
        </row>
        <row r="31">
          <cell r="E31">
            <v>0</v>
          </cell>
          <cell r="H31">
            <v>0</v>
          </cell>
          <cell r="I31">
            <v>0</v>
          </cell>
          <cell r="K31" t="e">
            <v>#REF!</v>
          </cell>
          <cell r="N31">
            <v>0</v>
          </cell>
          <cell r="O31">
            <v>0</v>
          </cell>
          <cell r="P31">
            <v>0</v>
          </cell>
        </row>
        <row r="32">
          <cell r="E32">
            <v>0</v>
          </cell>
          <cell r="H32">
            <v>0</v>
          </cell>
          <cell r="I32">
            <v>0</v>
          </cell>
          <cell r="K32" t="e">
            <v>#REF!</v>
          </cell>
          <cell r="N32">
            <v>0</v>
          </cell>
          <cell r="O32">
            <v>0</v>
          </cell>
          <cell r="P32">
            <v>0</v>
          </cell>
        </row>
        <row r="33">
          <cell r="E33">
            <v>0</v>
          </cell>
          <cell r="H33">
            <v>0</v>
          </cell>
          <cell r="I33">
            <v>0</v>
          </cell>
          <cell r="K33" t="e">
            <v>#REF!</v>
          </cell>
          <cell r="N33">
            <v>0</v>
          </cell>
          <cell r="O33">
            <v>0</v>
          </cell>
          <cell r="P33">
            <v>0</v>
          </cell>
        </row>
        <row r="34">
          <cell r="E34">
            <v>0</v>
          </cell>
          <cell r="H34">
            <v>0</v>
          </cell>
          <cell r="I34">
            <v>0</v>
          </cell>
          <cell r="K34" t="e">
            <v>#REF!</v>
          </cell>
          <cell r="N34">
            <v>0</v>
          </cell>
          <cell r="O34">
            <v>0</v>
          </cell>
          <cell r="P34">
            <v>0</v>
          </cell>
        </row>
        <row r="35">
          <cell r="E35">
            <v>0</v>
          </cell>
          <cell r="H35">
            <v>0</v>
          </cell>
          <cell r="I35">
            <v>0</v>
          </cell>
          <cell r="K35" t="e">
            <v>#REF!</v>
          </cell>
          <cell r="N35">
            <v>0</v>
          </cell>
          <cell r="O35">
            <v>0</v>
          </cell>
          <cell r="P35">
            <v>0</v>
          </cell>
        </row>
        <row r="36">
          <cell r="E36">
            <v>0</v>
          </cell>
          <cell r="H36">
            <v>0</v>
          </cell>
          <cell r="I36">
            <v>0</v>
          </cell>
          <cell r="K36" t="e">
            <v>#REF!</v>
          </cell>
          <cell r="N36">
            <v>0</v>
          </cell>
          <cell r="O36">
            <v>0</v>
          </cell>
          <cell r="P36">
            <v>0</v>
          </cell>
        </row>
        <row r="37">
          <cell r="E37">
            <v>0</v>
          </cell>
          <cell r="H37">
            <v>0</v>
          </cell>
          <cell r="I37">
            <v>0</v>
          </cell>
          <cell r="K37" t="e">
            <v>#REF!</v>
          </cell>
          <cell r="N37">
            <v>0</v>
          </cell>
          <cell r="O37">
            <v>0</v>
          </cell>
          <cell r="P37">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Modelo"/>
      <sheetName val="PREENCHER"/>
      <sheetName val="DECLARAÇÃO"/>
      <sheetName val="ANÁLISE PLANILHA SINAPI (1)"/>
    </sheetNames>
    <definedNames>
      <definedName name="Imprimir"/>
    </definedNames>
    <sheetDataSet>
      <sheetData sheetId="0"/>
      <sheetData sheetId="1"/>
      <sheetData sheetId="2"/>
      <sheetData sheetId="3" refreshError="1"/>
    </sheetDataSet>
  </externalBook>
</externalLink>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Escritório">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Escritório">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N26"/>
  <sheetViews>
    <sheetView zoomScale="70" zoomScaleNormal="70" workbookViewId="0">
      <selection activeCell="D42" sqref="D42"/>
    </sheetView>
  </sheetViews>
  <sheetFormatPr defaultRowHeight="12.75"/>
  <cols>
    <col min="2" max="2" width="25" bestFit="1" customWidth="1"/>
    <col min="3" max="10" width="15.7109375" customWidth="1"/>
    <col min="11" max="11" width="17.7109375" bestFit="1" customWidth="1"/>
    <col min="13" max="13" width="14" customWidth="1"/>
    <col min="14" max="15" width="9.140625" customWidth="1"/>
  </cols>
  <sheetData>
    <row r="1" spans="1:14" ht="24.95" customHeight="1">
      <c r="A1" s="771" t="s">
        <v>404</v>
      </c>
      <c r="B1" s="772"/>
      <c r="C1" s="772"/>
      <c r="D1" s="772"/>
      <c r="E1" s="772"/>
      <c r="F1" s="772"/>
      <c r="G1" s="772"/>
      <c r="H1" s="772"/>
      <c r="I1" s="772"/>
      <c r="J1" s="772"/>
      <c r="K1" s="773"/>
      <c r="L1" s="121"/>
      <c r="M1" s="121"/>
      <c r="N1" s="121"/>
    </row>
    <row r="2" spans="1:14" ht="24.95" customHeight="1">
      <c r="A2" s="774" t="s">
        <v>71</v>
      </c>
      <c r="B2" s="775"/>
      <c r="C2" s="775"/>
      <c r="D2" s="775"/>
      <c r="E2" s="775"/>
      <c r="F2" s="775"/>
      <c r="G2" s="775"/>
      <c r="H2" s="775"/>
      <c r="I2" s="775"/>
      <c r="J2" s="775"/>
      <c r="K2" s="776"/>
      <c r="L2" s="121"/>
      <c r="M2" s="121"/>
      <c r="N2" s="121"/>
    </row>
    <row r="3" spans="1:14" ht="24.95" customHeight="1" thickBot="1">
      <c r="A3" s="678" t="str">
        <f>ORÇAMENTO!C5</f>
        <v>Estrada Passo Salseiro</v>
      </c>
      <c r="B3" s="375"/>
      <c r="C3" s="375"/>
      <c r="D3" s="375"/>
      <c r="E3" s="375"/>
      <c r="F3" s="375"/>
      <c r="G3" s="375"/>
      <c r="H3" s="375"/>
      <c r="I3" s="375"/>
      <c r="J3" s="375"/>
      <c r="K3" s="748" t="s">
        <v>588</v>
      </c>
      <c r="L3" s="121"/>
      <c r="M3" s="121"/>
      <c r="N3" s="121"/>
    </row>
    <row r="4" spans="1:14" ht="24.95" customHeight="1">
      <c r="A4" s="779" t="s">
        <v>72</v>
      </c>
      <c r="B4" s="781" t="s">
        <v>73</v>
      </c>
      <c r="C4" s="783" t="s">
        <v>192</v>
      </c>
      <c r="D4" s="784"/>
      <c r="E4" s="784"/>
      <c r="F4" s="784"/>
      <c r="G4" s="784"/>
      <c r="H4" s="784"/>
      <c r="I4" s="784"/>
      <c r="J4" s="784"/>
      <c r="K4" s="785" t="s">
        <v>74</v>
      </c>
      <c r="L4" s="121"/>
      <c r="M4" s="121"/>
      <c r="N4" s="121"/>
    </row>
    <row r="5" spans="1:14" ht="24.95" customHeight="1" thickBot="1">
      <c r="A5" s="780"/>
      <c r="B5" s="782"/>
      <c r="C5" s="787">
        <v>30</v>
      </c>
      <c r="D5" s="788"/>
      <c r="E5" s="789">
        <v>60</v>
      </c>
      <c r="F5" s="790"/>
      <c r="G5" s="789">
        <v>90</v>
      </c>
      <c r="H5" s="790"/>
      <c r="I5" s="789">
        <v>120</v>
      </c>
      <c r="J5" s="790"/>
      <c r="K5" s="786"/>
      <c r="L5" s="121"/>
      <c r="M5" s="121"/>
      <c r="N5" s="121"/>
    </row>
    <row r="6" spans="1:14" ht="24.95" customHeight="1">
      <c r="A6" s="89"/>
      <c r="B6" s="90"/>
      <c r="C6" s="791">
        <v>0.3</v>
      </c>
      <c r="D6" s="792"/>
      <c r="E6" s="791">
        <v>0.2</v>
      </c>
      <c r="F6" s="792"/>
      <c r="G6" s="791">
        <v>0.2</v>
      </c>
      <c r="H6" s="792"/>
      <c r="I6" s="791">
        <v>0.3</v>
      </c>
      <c r="J6" s="792"/>
      <c r="K6" s="688">
        <f>SUM(C6:J6)</f>
        <v>1</v>
      </c>
      <c r="L6" s="121"/>
      <c r="N6" s="123">
        <f>SUM(C6:J6)</f>
        <v>1</v>
      </c>
    </row>
    <row r="7" spans="1:14" ht="24.95" customHeight="1">
      <c r="A7" s="89" t="s">
        <v>75</v>
      </c>
      <c r="B7" s="793" t="s">
        <v>215</v>
      </c>
      <c r="C7" s="676"/>
      <c r="D7" s="675"/>
      <c r="E7" s="676"/>
      <c r="F7" s="675"/>
      <c r="G7" s="676"/>
      <c r="H7" s="675"/>
      <c r="I7" s="676"/>
      <c r="J7" s="675"/>
      <c r="K7" s="122"/>
      <c r="L7" s="121"/>
      <c r="M7" s="121"/>
    </row>
    <row r="8" spans="1:14" ht="24.95" customHeight="1">
      <c r="A8" s="91"/>
      <c r="B8" s="794"/>
      <c r="C8" s="766">
        <f>M8*C6</f>
        <v>14302.608</v>
      </c>
      <c r="D8" s="767"/>
      <c r="E8" s="766">
        <f>M8*E6</f>
        <v>9535.0720000000001</v>
      </c>
      <c r="F8" s="767"/>
      <c r="G8" s="766">
        <f>M8*G6</f>
        <v>9535.0720000000001</v>
      </c>
      <c r="H8" s="767"/>
      <c r="I8" s="766">
        <f>M8*I6</f>
        <v>14302.608</v>
      </c>
      <c r="J8" s="767"/>
      <c r="K8" s="126">
        <f>SUM(C8:J8)</f>
        <v>47675.360000000001</v>
      </c>
      <c r="L8" s="121"/>
      <c r="M8" s="125">
        <f>'RESUMO SERVIÇOS'!H17</f>
        <v>47675.360000000001</v>
      </c>
      <c r="N8" s="121"/>
    </row>
    <row r="9" spans="1:14" ht="24.95" customHeight="1">
      <c r="A9" s="92"/>
      <c r="B9" s="93"/>
      <c r="C9" s="777">
        <v>0.2</v>
      </c>
      <c r="D9" s="778"/>
      <c r="E9" s="777">
        <v>0.3</v>
      </c>
      <c r="F9" s="778"/>
      <c r="G9" s="777">
        <v>0.3</v>
      </c>
      <c r="H9" s="778"/>
      <c r="I9" s="777">
        <v>0.2</v>
      </c>
      <c r="J9" s="778"/>
      <c r="K9" s="689">
        <f>SUM(C9:J9)</f>
        <v>1</v>
      </c>
      <c r="L9" s="121"/>
      <c r="M9" s="121"/>
      <c r="N9" s="123">
        <f>SUM(C9:J9)</f>
        <v>1</v>
      </c>
    </row>
    <row r="10" spans="1:14" ht="24.95" customHeight="1">
      <c r="A10" s="89" t="s">
        <v>76</v>
      </c>
      <c r="B10" s="90" t="s">
        <v>77</v>
      </c>
      <c r="C10" s="677"/>
      <c r="D10" s="675"/>
      <c r="E10" s="676"/>
      <c r="F10" s="675"/>
      <c r="G10" s="676"/>
      <c r="H10" s="675"/>
      <c r="I10" s="676"/>
      <c r="J10" s="675"/>
      <c r="K10" s="122"/>
      <c r="L10" s="121"/>
      <c r="M10" s="121" t="s">
        <v>8</v>
      </c>
    </row>
    <row r="11" spans="1:14" ht="24.95" customHeight="1">
      <c r="A11" s="91"/>
      <c r="B11" s="96"/>
      <c r="C11" s="766">
        <f>M11*C9</f>
        <v>31510.277999999998</v>
      </c>
      <c r="D11" s="767"/>
      <c r="E11" s="766">
        <f>E9*$M$11</f>
        <v>47265.416999999994</v>
      </c>
      <c r="F11" s="767"/>
      <c r="G11" s="766">
        <f>G9*$M$11</f>
        <v>47265.416999999994</v>
      </c>
      <c r="H11" s="767"/>
      <c r="I11" s="766">
        <f>I9*$M$11</f>
        <v>31510.277999999998</v>
      </c>
      <c r="J11" s="767"/>
      <c r="K11" s="122">
        <f>SUM(C11:J11)</f>
        <v>157551.38999999998</v>
      </c>
      <c r="L11" s="121"/>
      <c r="M11" s="125">
        <f>'RESUMO SERVIÇOS'!H9</f>
        <v>157551.38999999998</v>
      </c>
      <c r="N11" s="121"/>
    </row>
    <row r="12" spans="1:14" ht="24.95" customHeight="1">
      <c r="A12" s="92"/>
      <c r="B12" s="93"/>
      <c r="C12" s="751"/>
      <c r="D12" s="752">
        <v>0.05</v>
      </c>
      <c r="E12" s="762">
        <v>0.35</v>
      </c>
      <c r="F12" s="763"/>
      <c r="G12" s="762">
        <v>0.35</v>
      </c>
      <c r="H12" s="763"/>
      <c r="I12" s="762">
        <v>0.25</v>
      </c>
      <c r="J12" s="763"/>
      <c r="K12" s="689">
        <f>SUM(C12:J12)</f>
        <v>1</v>
      </c>
      <c r="L12" s="121"/>
      <c r="M12" s="121"/>
      <c r="N12" s="123">
        <f>SUM(C12:J12)</f>
        <v>1</v>
      </c>
    </row>
    <row r="13" spans="1:14" ht="24.95" customHeight="1">
      <c r="A13" s="89" t="s">
        <v>78</v>
      </c>
      <c r="B13" s="90" t="s">
        <v>79</v>
      </c>
      <c r="C13" s="94"/>
      <c r="D13" s="675"/>
      <c r="E13" s="677"/>
      <c r="F13" s="675"/>
      <c r="G13" s="686"/>
      <c r="H13" s="675"/>
      <c r="I13" s="686"/>
      <c r="J13" s="675"/>
      <c r="K13" s="126"/>
      <c r="L13" s="121"/>
      <c r="M13" s="121" t="s">
        <v>8</v>
      </c>
    </row>
    <row r="14" spans="1:14" ht="24.95" customHeight="1">
      <c r="A14" s="91"/>
      <c r="B14" s="96"/>
      <c r="C14" s="766">
        <f>M14*D12</f>
        <v>55052.140999999996</v>
      </c>
      <c r="D14" s="767"/>
      <c r="E14" s="766">
        <f>M14*E12</f>
        <v>385364.98699999991</v>
      </c>
      <c r="F14" s="767"/>
      <c r="G14" s="766">
        <f>G12*$M$14</f>
        <v>385364.98699999991</v>
      </c>
      <c r="H14" s="767"/>
      <c r="I14" s="766">
        <f>I12*$M$14</f>
        <v>275260.70499999996</v>
      </c>
      <c r="J14" s="767"/>
      <c r="K14" s="124">
        <f>SUM(C14:J14)</f>
        <v>1101042.8199999998</v>
      </c>
      <c r="L14" s="121"/>
      <c r="M14" s="125">
        <f>'RESUMO SERVIÇOS'!H11</f>
        <v>1101042.8199999998</v>
      </c>
      <c r="N14" s="121"/>
    </row>
    <row r="15" spans="1:14" ht="24.95" customHeight="1">
      <c r="A15" s="92"/>
      <c r="B15" s="93"/>
      <c r="C15" s="751"/>
      <c r="D15" s="752">
        <v>0.05</v>
      </c>
      <c r="E15" s="762">
        <v>0.35</v>
      </c>
      <c r="F15" s="763"/>
      <c r="G15" s="762">
        <v>0.35</v>
      </c>
      <c r="H15" s="763"/>
      <c r="I15" s="762">
        <v>0.25</v>
      </c>
      <c r="J15" s="763"/>
      <c r="K15" s="689">
        <f>SUM(C15:J15)</f>
        <v>1</v>
      </c>
      <c r="L15" s="121"/>
      <c r="M15" s="121"/>
      <c r="N15" s="123">
        <f>SUM(C15:J15)</f>
        <v>1</v>
      </c>
    </row>
    <row r="16" spans="1:14" ht="24.95" customHeight="1">
      <c r="A16" s="89" t="s">
        <v>80</v>
      </c>
      <c r="B16" s="90" t="s">
        <v>193</v>
      </c>
      <c r="C16" s="94"/>
      <c r="D16" s="675"/>
      <c r="E16" s="686"/>
      <c r="F16" s="675"/>
      <c r="G16" s="686"/>
      <c r="H16" s="675"/>
      <c r="I16" s="676"/>
      <c r="J16" s="675"/>
      <c r="K16" s="122"/>
      <c r="L16" s="121"/>
      <c r="M16" s="121" t="s">
        <v>8</v>
      </c>
    </row>
    <row r="17" spans="1:14" ht="24.95" customHeight="1">
      <c r="A17" s="91"/>
      <c r="B17" s="96"/>
      <c r="C17" s="766">
        <f>M17*D15</f>
        <v>8581.8365000000013</v>
      </c>
      <c r="D17" s="767"/>
      <c r="E17" s="766">
        <f>E15*$M$17</f>
        <v>60072.855499999998</v>
      </c>
      <c r="F17" s="767"/>
      <c r="G17" s="766">
        <f>G15*$M$17</f>
        <v>60072.855499999998</v>
      </c>
      <c r="H17" s="767"/>
      <c r="I17" s="766">
        <f>I15*$M$17</f>
        <v>42909.182500000003</v>
      </c>
      <c r="J17" s="767"/>
      <c r="K17" s="122">
        <f>SUM(C17:J17)</f>
        <v>171636.72999999998</v>
      </c>
      <c r="L17" s="121"/>
      <c r="M17" s="125">
        <f>'RESUMO SERVIÇOS'!H13</f>
        <v>171636.73</v>
      </c>
      <c r="N17" s="121"/>
    </row>
    <row r="18" spans="1:14" ht="24.95" customHeight="1">
      <c r="A18" s="92"/>
      <c r="B18" s="93"/>
      <c r="C18" s="751"/>
      <c r="D18" s="752"/>
      <c r="E18" s="751"/>
      <c r="F18" s="752"/>
      <c r="G18" s="762"/>
      <c r="H18" s="763"/>
      <c r="I18" s="762">
        <v>1</v>
      </c>
      <c r="J18" s="763"/>
      <c r="K18" s="689">
        <f>SUM(C18:J18)</f>
        <v>1</v>
      </c>
      <c r="L18" s="121"/>
      <c r="M18" s="121"/>
      <c r="N18" s="123">
        <f>SUM(C18:J18)</f>
        <v>1</v>
      </c>
    </row>
    <row r="19" spans="1:14" ht="24.95" customHeight="1">
      <c r="A19" s="89" t="s">
        <v>81</v>
      </c>
      <c r="B19" s="90" t="s">
        <v>194</v>
      </c>
      <c r="C19" s="94"/>
      <c r="D19" s="97"/>
      <c r="E19" s="94"/>
      <c r="F19" s="97"/>
      <c r="G19" s="687"/>
      <c r="H19" s="95"/>
      <c r="I19" s="676"/>
      <c r="J19" s="675"/>
      <c r="K19" s="122"/>
      <c r="L19" s="121"/>
      <c r="M19" s="121" t="s">
        <v>8</v>
      </c>
    </row>
    <row r="20" spans="1:14" ht="24.95" customHeight="1" thickBot="1">
      <c r="A20" s="89"/>
      <c r="B20" s="90"/>
      <c r="C20" s="764"/>
      <c r="D20" s="765"/>
      <c r="E20" s="764"/>
      <c r="F20" s="765"/>
      <c r="G20" s="764"/>
      <c r="H20" s="765"/>
      <c r="I20" s="766">
        <f>I18*$M$20</f>
        <v>24600.560000000001</v>
      </c>
      <c r="J20" s="767"/>
      <c r="K20" s="122">
        <f>SUM(C20:J20)</f>
        <v>24600.560000000001</v>
      </c>
      <c r="L20" s="121"/>
      <c r="M20" s="125">
        <f>'RESUMO SERVIÇOS'!H15</f>
        <v>24600.560000000001</v>
      </c>
      <c r="N20" s="121"/>
    </row>
    <row r="21" spans="1:14" ht="24.95" customHeight="1">
      <c r="A21" s="768" t="s">
        <v>195</v>
      </c>
      <c r="B21" s="769"/>
      <c r="C21" s="753">
        <f>C22/$M$24</f>
        <v>7.2842837802417765E-2</v>
      </c>
      <c r="D21" s="757"/>
      <c r="E21" s="753">
        <f>E22/$M$24</f>
        <v>0.33426691409581982</v>
      </c>
      <c r="F21" s="757"/>
      <c r="G21" s="753">
        <f>G22/$M$24</f>
        <v>0.33426691409581982</v>
      </c>
      <c r="H21" s="757"/>
      <c r="I21" s="753">
        <f>I22/$M$24</f>
        <v>0.25862333400594256</v>
      </c>
      <c r="J21" s="757"/>
      <c r="K21" s="673"/>
      <c r="L21" s="121"/>
      <c r="M21" s="121"/>
      <c r="N21" s="121"/>
    </row>
    <row r="22" spans="1:14" ht="24.95" customHeight="1" thickBot="1">
      <c r="A22" s="760"/>
      <c r="B22" s="770"/>
      <c r="C22" s="755">
        <f>C8+C11+C14+C17+C20</f>
        <v>109446.86350000001</v>
      </c>
      <c r="D22" s="756"/>
      <c r="E22" s="755">
        <f>E8+E11+E14+E17+E20</f>
        <v>502238.33149999991</v>
      </c>
      <c r="F22" s="756"/>
      <c r="G22" s="755">
        <f>G8+G11+G14+G17+G20</f>
        <v>502238.33149999991</v>
      </c>
      <c r="H22" s="756"/>
      <c r="I22" s="755">
        <f>I8+I11+I14+I17+I20</f>
        <v>388583.33349999995</v>
      </c>
      <c r="J22" s="756"/>
      <c r="K22" s="555" t="s">
        <v>8</v>
      </c>
      <c r="L22" s="121"/>
      <c r="M22" s="125" t="s">
        <v>8</v>
      </c>
      <c r="N22" s="121"/>
    </row>
    <row r="23" spans="1:14" ht="24.95" customHeight="1">
      <c r="A23" s="758" t="s">
        <v>196</v>
      </c>
      <c r="B23" s="759"/>
      <c r="C23" s="753">
        <f>C21</f>
        <v>7.2842837802417765E-2</v>
      </c>
      <c r="D23" s="754"/>
      <c r="E23" s="753">
        <f>C23+E21</f>
        <v>0.40710975189823762</v>
      </c>
      <c r="F23" s="754"/>
      <c r="G23" s="753">
        <f>E23+G21</f>
        <v>0.74137666599405749</v>
      </c>
      <c r="H23" s="754"/>
      <c r="I23" s="753">
        <f>G23+I21</f>
        <v>1</v>
      </c>
      <c r="J23" s="754"/>
      <c r="K23" s="556" t="s">
        <v>8</v>
      </c>
      <c r="L23" s="121"/>
      <c r="M23" s="121"/>
      <c r="N23" s="121"/>
    </row>
    <row r="24" spans="1:14" ht="24.95" customHeight="1" thickBot="1">
      <c r="A24" s="760"/>
      <c r="B24" s="761"/>
      <c r="C24" s="755">
        <f>C22</f>
        <v>109446.86350000001</v>
      </c>
      <c r="D24" s="756"/>
      <c r="E24" s="755">
        <f>C24+E22</f>
        <v>611685.19499999995</v>
      </c>
      <c r="F24" s="756"/>
      <c r="G24" s="755">
        <f>E24+G22</f>
        <v>1113923.5264999999</v>
      </c>
      <c r="H24" s="756"/>
      <c r="I24" s="755">
        <f>G24+I22</f>
        <v>1502506.8599999999</v>
      </c>
      <c r="J24" s="756"/>
      <c r="K24" s="557"/>
      <c r="L24" s="121"/>
      <c r="M24" s="125">
        <f>SUM(M6:M23)</f>
        <v>1502506.8599999999</v>
      </c>
      <c r="N24" s="121"/>
    </row>
    <row r="25" spans="1:14" ht="21.95" customHeight="1">
      <c r="A25" s="121"/>
      <c r="B25" s="121"/>
      <c r="C25" s="121"/>
      <c r="D25" s="121"/>
      <c r="E25" s="121"/>
      <c r="F25" s="121"/>
      <c r="G25" s="121"/>
      <c r="H25" s="121"/>
      <c r="I25" s="121"/>
      <c r="J25" s="121"/>
      <c r="K25" s="121"/>
      <c r="L25" s="121"/>
      <c r="M25" s="121"/>
      <c r="N25" s="121"/>
    </row>
    <row r="26" spans="1:14" ht="15">
      <c r="A26" s="121"/>
      <c r="B26" s="121"/>
      <c r="C26" s="121"/>
      <c r="D26" s="121"/>
      <c r="E26" s="121"/>
      <c r="F26" s="121"/>
      <c r="G26" s="121"/>
      <c r="H26" s="121"/>
      <c r="I26" s="121"/>
      <c r="J26" s="121"/>
      <c r="K26" s="121"/>
      <c r="L26" s="121"/>
      <c r="M26" s="674" t="s">
        <v>8</v>
      </c>
      <c r="N26" s="121"/>
    </row>
  </sheetData>
  <mergeCells count="65">
    <mergeCell ref="B7:B8"/>
    <mergeCell ref="C8:D8"/>
    <mergeCell ref="E8:F8"/>
    <mergeCell ref="G8:H8"/>
    <mergeCell ref="E9:F9"/>
    <mergeCell ref="G9:H9"/>
    <mergeCell ref="C6:D6"/>
    <mergeCell ref="E6:F6"/>
    <mergeCell ref="G6:H6"/>
    <mergeCell ref="I6:J6"/>
    <mergeCell ref="C9:D9"/>
    <mergeCell ref="C11:D11"/>
    <mergeCell ref="E11:F11"/>
    <mergeCell ref="G11:H11"/>
    <mergeCell ref="I11:J11"/>
    <mergeCell ref="A1:K1"/>
    <mergeCell ref="A2:K2"/>
    <mergeCell ref="I9:J9"/>
    <mergeCell ref="A4:A5"/>
    <mergeCell ref="B4:B5"/>
    <mergeCell ref="C4:J4"/>
    <mergeCell ref="K4:K5"/>
    <mergeCell ref="C5:D5"/>
    <mergeCell ref="E5:F5"/>
    <mergeCell ref="G5:H5"/>
    <mergeCell ref="I5:J5"/>
    <mergeCell ref="I8:J8"/>
    <mergeCell ref="C14:D14"/>
    <mergeCell ref="E14:F14"/>
    <mergeCell ref="G14:H14"/>
    <mergeCell ref="I14:J14"/>
    <mergeCell ref="G12:H12"/>
    <mergeCell ref="I12:J12"/>
    <mergeCell ref="E12:F12"/>
    <mergeCell ref="E15:F15"/>
    <mergeCell ref="G15:H15"/>
    <mergeCell ref="I15:J15"/>
    <mergeCell ref="C17:D17"/>
    <mergeCell ref="E17:F17"/>
    <mergeCell ref="G17:H17"/>
    <mergeCell ref="I17:J17"/>
    <mergeCell ref="A23:B24"/>
    <mergeCell ref="G18:H18"/>
    <mergeCell ref="I18:J18"/>
    <mergeCell ref="C20:D20"/>
    <mergeCell ref="E20:F20"/>
    <mergeCell ref="G20:H20"/>
    <mergeCell ref="I20:J20"/>
    <mergeCell ref="A21:B22"/>
    <mergeCell ref="C21:D21"/>
    <mergeCell ref="C22:D22"/>
    <mergeCell ref="E21:F21"/>
    <mergeCell ref="E22:F22"/>
    <mergeCell ref="I21:J21"/>
    <mergeCell ref="I22:J22"/>
    <mergeCell ref="I24:J24"/>
    <mergeCell ref="G24:H24"/>
    <mergeCell ref="I23:J23"/>
    <mergeCell ref="E24:F24"/>
    <mergeCell ref="G21:H21"/>
    <mergeCell ref="G22:H22"/>
    <mergeCell ref="C24:D24"/>
    <mergeCell ref="C23:D23"/>
    <mergeCell ref="E23:F23"/>
    <mergeCell ref="G23:H23"/>
  </mergeCells>
  <printOptions horizontalCentered="1"/>
  <pageMargins left="1.1811023622047245" right="1.1811023622047245" top="1.3779527559055118" bottom="0.98425196850393704" header="0.31496062992125984" footer="0.31496062992125984"/>
  <pageSetup paperSize="9" scale="68" orientation="landscape" horizontalDpi="1200" verticalDpi="1200" r:id="rId1"/>
</worksheet>
</file>

<file path=xl/worksheets/sheet10.xml><?xml version="1.0" encoding="utf-8"?>
<worksheet xmlns="http://schemas.openxmlformats.org/spreadsheetml/2006/main" xmlns:r="http://schemas.openxmlformats.org/officeDocument/2006/relationships">
  <sheetPr codeName="Plan2"/>
  <dimension ref="A1:S64"/>
  <sheetViews>
    <sheetView workbookViewId="0"/>
  </sheetViews>
  <sheetFormatPr defaultRowHeight="12.75"/>
  <cols>
    <col min="1" max="1" width="2.7109375" style="235" customWidth="1"/>
    <col min="2" max="3" width="6" style="235" customWidth="1"/>
    <col min="4" max="4" width="34.7109375" style="235" customWidth="1"/>
    <col min="5" max="5" width="11.28515625" style="235" customWidth="1"/>
    <col min="6" max="6" width="11" style="236" customWidth="1"/>
    <col min="7" max="7" width="9.140625" style="235"/>
    <col min="8" max="8" width="1.5703125" style="235" customWidth="1"/>
    <col min="9" max="14" width="0" style="235" hidden="1" customWidth="1"/>
    <col min="15" max="256" width="9.140625" style="235"/>
    <col min="257" max="257" width="2.7109375" style="235" customWidth="1"/>
    <col min="258" max="259" width="6" style="235" customWidth="1"/>
    <col min="260" max="260" width="34.7109375" style="235" customWidth="1"/>
    <col min="261" max="261" width="11.28515625" style="235" customWidth="1"/>
    <col min="262" max="262" width="11" style="235" customWidth="1"/>
    <col min="263" max="263" width="9.140625" style="235"/>
    <col min="264" max="264" width="1.5703125" style="235" customWidth="1"/>
    <col min="265" max="270" width="0" style="235" hidden="1" customWidth="1"/>
    <col min="271" max="512" width="9.140625" style="235"/>
    <col min="513" max="513" width="2.7109375" style="235" customWidth="1"/>
    <col min="514" max="515" width="6" style="235" customWidth="1"/>
    <col min="516" max="516" width="34.7109375" style="235" customWidth="1"/>
    <col min="517" max="517" width="11.28515625" style="235" customWidth="1"/>
    <col min="518" max="518" width="11" style="235" customWidth="1"/>
    <col min="519" max="519" width="9.140625" style="235"/>
    <col min="520" max="520" width="1.5703125" style="235" customWidth="1"/>
    <col min="521" max="526" width="0" style="235" hidden="1" customWidth="1"/>
    <col min="527" max="768" width="9.140625" style="235"/>
    <col min="769" max="769" width="2.7109375" style="235" customWidth="1"/>
    <col min="770" max="771" width="6" style="235" customWidth="1"/>
    <col min="772" max="772" width="34.7109375" style="235" customWidth="1"/>
    <col min="773" max="773" width="11.28515625" style="235" customWidth="1"/>
    <col min="774" max="774" width="11" style="235" customWidth="1"/>
    <col min="775" max="775" width="9.140625" style="235"/>
    <col min="776" max="776" width="1.5703125" style="235" customWidth="1"/>
    <col min="777" max="782" width="0" style="235" hidden="1" customWidth="1"/>
    <col min="783" max="1024" width="9.140625" style="235"/>
    <col min="1025" max="1025" width="2.7109375" style="235" customWidth="1"/>
    <col min="1026" max="1027" width="6" style="235" customWidth="1"/>
    <col min="1028" max="1028" width="34.7109375" style="235" customWidth="1"/>
    <col min="1029" max="1029" width="11.28515625" style="235" customWidth="1"/>
    <col min="1030" max="1030" width="11" style="235" customWidth="1"/>
    <col min="1031" max="1031" width="9.140625" style="235"/>
    <col min="1032" max="1032" width="1.5703125" style="235" customWidth="1"/>
    <col min="1033" max="1038" width="0" style="235" hidden="1" customWidth="1"/>
    <col min="1039" max="1280" width="9.140625" style="235"/>
    <col min="1281" max="1281" width="2.7109375" style="235" customWidth="1"/>
    <col min="1282" max="1283" width="6" style="235" customWidth="1"/>
    <col min="1284" max="1284" width="34.7109375" style="235" customWidth="1"/>
    <col min="1285" max="1285" width="11.28515625" style="235" customWidth="1"/>
    <col min="1286" max="1286" width="11" style="235" customWidth="1"/>
    <col min="1287" max="1287" width="9.140625" style="235"/>
    <col min="1288" max="1288" width="1.5703125" style="235" customWidth="1"/>
    <col min="1289" max="1294" width="0" style="235" hidden="1" customWidth="1"/>
    <col min="1295" max="1536" width="9.140625" style="235"/>
    <col min="1537" max="1537" width="2.7109375" style="235" customWidth="1"/>
    <col min="1538" max="1539" width="6" style="235" customWidth="1"/>
    <col min="1540" max="1540" width="34.7109375" style="235" customWidth="1"/>
    <col min="1541" max="1541" width="11.28515625" style="235" customWidth="1"/>
    <col min="1542" max="1542" width="11" style="235" customWidth="1"/>
    <col min="1543" max="1543" width="9.140625" style="235"/>
    <col min="1544" max="1544" width="1.5703125" style="235" customWidth="1"/>
    <col min="1545" max="1550" width="0" style="235" hidden="1" customWidth="1"/>
    <col min="1551" max="1792" width="9.140625" style="235"/>
    <col min="1793" max="1793" width="2.7109375" style="235" customWidth="1"/>
    <col min="1794" max="1795" width="6" style="235" customWidth="1"/>
    <col min="1796" max="1796" width="34.7109375" style="235" customWidth="1"/>
    <col min="1797" max="1797" width="11.28515625" style="235" customWidth="1"/>
    <col min="1798" max="1798" width="11" style="235" customWidth="1"/>
    <col min="1799" max="1799" width="9.140625" style="235"/>
    <col min="1800" max="1800" width="1.5703125" style="235" customWidth="1"/>
    <col min="1801" max="1806" width="0" style="235" hidden="1" customWidth="1"/>
    <col min="1807" max="2048" width="9.140625" style="235"/>
    <col min="2049" max="2049" width="2.7109375" style="235" customWidth="1"/>
    <col min="2050" max="2051" width="6" style="235" customWidth="1"/>
    <col min="2052" max="2052" width="34.7109375" style="235" customWidth="1"/>
    <col min="2053" max="2053" width="11.28515625" style="235" customWidth="1"/>
    <col min="2054" max="2054" width="11" style="235" customWidth="1"/>
    <col min="2055" max="2055" width="9.140625" style="235"/>
    <col min="2056" max="2056" width="1.5703125" style="235" customWidth="1"/>
    <col min="2057" max="2062" width="0" style="235" hidden="1" customWidth="1"/>
    <col min="2063" max="2304" width="9.140625" style="235"/>
    <col min="2305" max="2305" width="2.7109375" style="235" customWidth="1"/>
    <col min="2306" max="2307" width="6" style="235" customWidth="1"/>
    <col min="2308" max="2308" width="34.7109375" style="235" customWidth="1"/>
    <col min="2309" max="2309" width="11.28515625" style="235" customWidth="1"/>
    <col min="2310" max="2310" width="11" style="235" customWidth="1"/>
    <col min="2311" max="2311" width="9.140625" style="235"/>
    <col min="2312" max="2312" width="1.5703125" style="235" customWidth="1"/>
    <col min="2313" max="2318" width="0" style="235" hidden="1" customWidth="1"/>
    <col min="2319" max="2560" width="9.140625" style="235"/>
    <col min="2561" max="2561" width="2.7109375" style="235" customWidth="1"/>
    <col min="2562" max="2563" width="6" style="235" customWidth="1"/>
    <col min="2564" max="2564" width="34.7109375" style="235" customWidth="1"/>
    <col min="2565" max="2565" width="11.28515625" style="235" customWidth="1"/>
    <col min="2566" max="2566" width="11" style="235" customWidth="1"/>
    <col min="2567" max="2567" width="9.140625" style="235"/>
    <col min="2568" max="2568" width="1.5703125" style="235" customWidth="1"/>
    <col min="2569" max="2574" width="0" style="235" hidden="1" customWidth="1"/>
    <col min="2575" max="2816" width="9.140625" style="235"/>
    <col min="2817" max="2817" width="2.7109375" style="235" customWidth="1"/>
    <col min="2818" max="2819" width="6" style="235" customWidth="1"/>
    <col min="2820" max="2820" width="34.7109375" style="235" customWidth="1"/>
    <col min="2821" max="2821" width="11.28515625" style="235" customWidth="1"/>
    <col min="2822" max="2822" width="11" style="235" customWidth="1"/>
    <col min="2823" max="2823" width="9.140625" style="235"/>
    <col min="2824" max="2824" width="1.5703125" style="235" customWidth="1"/>
    <col min="2825" max="2830" width="0" style="235" hidden="1" customWidth="1"/>
    <col min="2831" max="3072" width="9.140625" style="235"/>
    <col min="3073" max="3073" width="2.7109375" style="235" customWidth="1"/>
    <col min="3074" max="3075" width="6" style="235" customWidth="1"/>
    <col min="3076" max="3076" width="34.7109375" style="235" customWidth="1"/>
    <col min="3077" max="3077" width="11.28515625" style="235" customWidth="1"/>
    <col min="3078" max="3078" width="11" style="235" customWidth="1"/>
    <col min="3079" max="3079" width="9.140625" style="235"/>
    <col min="3080" max="3080" width="1.5703125" style="235" customWidth="1"/>
    <col min="3081" max="3086" width="0" style="235" hidden="1" customWidth="1"/>
    <col min="3087" max="3328" width="9.140625" style="235"/>
    <col min="3329" max="3329" width="2.7109375" style="235" customWidth="1"/>
    <col min="3330" max="3331" width="6" style="235" customWidth="1"/>
    <col min="3332" max="3332" width="34.7109375" style="235" customWidth="1"/>
    <col min="3333" max="3333" width="11.28515625" style="235" customWidth="1"/>
    <col min="3334" max="3334" width="11" style="235" customWidth="1"/>
    <col min="3335" max="3335" width="9.140625" style="235"/>
    <col min="3336" max="3336" width="1.5703125" style="235" customWidth="1"/>
    <col min="3337" max="3342" width="0" style="235" hidden="1" customWidth="1"/>
    <col min="3343" max="3584" width="9.140625" style="235"/>
    <col min="3585" max="3585" width="2.7109375" style="235" customWidth="1"/>
    <col min="3586" max="3587" width="6" style="235" customWidth="1"/>
    <col min="3588" max="3588" width="34.7109375" style="235" customWidth="1"/>
    <col min="3589" max="3589" width="11.28515625" style="235" customWidth="1"/>
    <col min="3590" max="3590" width="11" style="235" customWidth="1"/>
    <col min="3591" max="3591" width="9.140625" style="235"/>
    <col min="3592" max="3592" width="1.5703125" style="235" customWidth="1"/>
    <col min="3593" max="3598" width="0" style="235" hidden="1" customWidth="1"/>
    <col min="3599" max="3840" width="9.140625" style="235"/>
    <col min="3841" max="3841" width="2.7109375" style="235" customWidth="1"/>
    <col min="3842" max="3843" width="6" style="235" customWidth="1"/>
    <col min="3844" max="3844" width="34.7109375" style="235" customWidth="1"/>
    <col min="3845" max="3845" width="11.28515625" style="235" customWidth="1"/>
    <col min="3846" max="3846" width="11" style="235" customWidth="1"/>
    <col min="3847" max="3847" width="9.140625" style="235"/>
    <col min="3848" max="3848" width="1.5703125" style="235" customWidth="1"/>
    <col min="3849" max="3854" width="0" style="235" hidden="1" customWidth="1"/>
    <col min="3855" max="4096" width="9.140625" style="235"/>
    <col min="4097" max="4097" width="2.7109375" style="235" customWidth="1"/>
    <col min="4098" max="4099" width="6" style="235" customWidth="1"/>
    <col min="4100" max="4100" width="34.7109375" style="235" customWidth="1"/>
    <col min="4101" max="4101" width="11.28515625" style="235" customWidth="1"/>
    <col min="4102" max="4102" width="11" style="235" customWidth="1"/>
    <col min="4103" max="4103" width="9.140625" style="235"/>
    <col min="4104" max="4104" width="1.5703125" style="235" customWidth="1"/>
    <col min="4105" max="4110" width="0" style="235" hidden="1" customWidth="1"/>
    <col min="4111" max="4352" width="9.140625" style="235"/>
    <col min="4353" max="4353" width="2.7109375" style="235" customWidth="1"/>
    <col min="4354" max="4355" width="6" style="235" customWidth="1"/>
    <col min="4356" max="4356" width="34.7109375" style="235" customWidth="1"/>
    <col min="4357" max="4357" width="11.28515625" style="235" customWidth="1"/>
    <col min="4358" max="4358" width="11" style="235" customWidth="1"/>
    <col min="4359" max="4359" width="9.140625" style="235"/>
    <col min="4360" max="4360" width="1.5703125" style="235" customWidth="1"/>
    <col min="4361" max="4366" width="0" style="235" hidden="1" customWidth="1"/>
    <col min="4367" max="4608" width="9.140625" style="235"/>
    <col min="4609" max="4609" width="2.7109375" style="235" customWidth="1"/>
    <col min="4610" max="4611" width="6" style="235" customWidth="1"/>
    <col min="4612" max="4612" width="34.7109375" style="235" customWidth="1"/>
    <col min="4613" max="4613" width="11.28515625" style="235" customWidth="1"/>
    <col min="4614" max="4614" width="11" style="235" customWidth="1"/>
    <col min="4615" max="4615" width="9.140625" style="235"/>
    <col min="4616" max="4616" width="1.5703125" style="235" customWidth="1"/>
    <col min="4617" max="4622" width="0" style="235" hidden="1" customWidth="1"/>
    <col min="4623" max="4864" width="9.140625" style="235"/>
    <col min="4865" max="4865" width="2.7109375" style="235" customWidth="1"/>
    <col min="4866" max="4867" width="6" style="235" customWidth="1"/>
    <col min="4868" max="4868" width="34.7109375" style="235" customWidth="1"/>
    <col min="4869" max="4869" width="11.28515625" style="235" customWidth="1"/>
    <col min="4870" max="4870" width="11" style="235" customWidth="1"/>
    <col min="4871" max="4871" width="9.140625" style="235"/>
    <col min="4872" max="4872" width="1.5703125" style="235" customWidth="1"/>
    <col min="4873" max="4878" width="0" style="235" hidden="1" customWidth="1"/>
    <col min="4879" max="5120" width="9.140625" style="235"/>
    <col min="5121" max="5121" width="2.7109375" style="235" customWidth="1"/>
    <col min="5122" max="5123" width="6" style="235" customWidth="1"/>
    <col min="5124" max="5124" width="34.7109375" style="235" customWidth="1"/>
    <col min="5125" max="5125" width="11.28515625" style="235" customWidth="1"/>
    <col min="5126" max="5126" width="11" style="235" customWidth="1"/>
    <col min="5127" max="5127" width="9.140625" style="235"/>
    <col min="5128" max="5128" width="1.5703125" style="235" customWidth="1"/>
    <col min="5129" max="5134" width="0" style="235" hidden="1" customWidth="1"/>
    <col min="5135" max="5376" width="9.140625" style="235"/>
    <col min="5377" max="5377" width="2.7109375" style="235" customWidth="1"/>
    <col min="5378" max="5379" width="6" style="235" customWidth="1"/>
    <col min="5380" max="5380" width="34.7109375" style="235" customWidth="1"/>
    <col min="5381" max="5381" width="11.28515625" style="235" customWidth="1"/>
    <col min="5382" max="5382" width="11" style="235" customWidth="1"/>
    <col min="5383" max="5383" width="9.140625" style="235"/>
    <col min="5384" max="5384" width="1.5703125" style="235" customWidth="1"/>
    <col min="5385" max="5390" width="0" style="235" hidden="1" customWidth="1"/>
    <col min="5391" max="5632" width="9.140625" style="235"/>
    <col min="5633" max="5633" width="2.7109375" style="235" customWidth="1"/>
    <col min="5634" max="5635" width="6" style="235" customWidth="1"/>
    <col min="5636" max="5636" width="34.7109375" style="235" customWidth="1"/>
    <col min="5637" max="5637" width="11.28515625" style="235" customWidth="1"/>
    <col min="5638" max="5638" width="11" style="235" customWidth="1"/>
    <col min="5639" max="5639" width="9.140625" style="235"/>
    <col min="5640" max="5640" width="1.5703125" style="235" customWidth="1"/>
    <col min="5641" max="5646" width="0" style="235" hidden="1" customWidth="1"/>
    <col min="5647" max="5888" width="9.140625" style="235"/>
    <col min="5889" max="5889" width="2.7109375" style="235" customWidth="1"/>
    <col min="5890" max="5891" width="6" style="235" customWidth="1"/>
    <col min="5892" max="5892" width="34.7109375" style="235" customWidth="1"/>
    <col min="5893" max="5893" width="11.28515625" style="235" customWidth="1"/>
    <col min="5894" max="5894" width="11" style="235" customWidth="1"/>
    <col min="5895" max="5895" width="9.140625" style="235"/>
    <col min="5896" max="5896" width="1.5703125" style="235" customWidth="1"/>
    <col min="5897" max="5902" width="0" style="235" hidden="1" customWidth="1"/>
    <col min="5903" max="6144" width="9.140625" style="235"/>
    <col min="6145" max="6145" width="2.7109375" style="235" customWidth="1"/>
    <col min="6146" max="6147" width="6" style="235" customWidth="1"/>
    <col min="6148" max="6148" width="34.7109375" style="235" customWidth="1"/>
    <col min="6149" max="6149" width="11.28515625" style="235" customWidth="1"/>
    <col min="6150" max="6150" width="11" style="235" customWidth="1"/>
    <col min="6151" max="6151" width="9.140625" style="235"/>
    <col min="6152" max="6152" width="1.5703125" style="235" customWidth="1"/>
    <col min="6153" max="6158" width="0" style="235" hidden="1" customWidth="1"/>
    <col min="6159" max="6400" width="9.140625" style="235"/>
    <col min="6401" max="6401" width="2.7109375" style="235" customWidth="1"/>
    <col min="6402" max="6403" width="6" style="235" customWidth="1"/>
    <col min="6404" max="6404" width="34.7109375" style="235" customWidth="1"/>
    <col min="6405" max="6405" width="11.28515625" style="235" customWidth="1"/>
    <col min="6406" max="6406" width="11" style="235" customWidth="1"/>
    <col min="6407" max="6407" width="9.140625" style="235"/>
    <col min="6408" max="6408" width="1.5703125" style="235" customWidth="1"/>
    <col min="6409" max="6414" width="0" style="235" hidden="1" customWidth="1"/>
    <col min="6415" max="6656" width="9.140625" style="235"/>
    <col min="6657" max="6657" width="2.7109375" style="235" customWidth="1"/>
    <col min="6658" max="6659" width="6" style="235" customWidth="1"/>
    <col min="6660" max="6660" width="34.7109375" style="235" customWidth="1"/>
    <col min="6661" max="6661" width="11.28515625" style="235" customWidth="1"/>
    <col min="6662" max="6662" width="11" style="235" customWidth="1"/>
    <col min="6663" max="6663" width="9.140625" style="235"/>
    <col min="6664" max="6664" width="1.5703125" style="235" customWidth="1"/>
    <col min="6665" max="6670" width="0" style="235" hidden="1" customWidth="1"/>
    <col min="6671" max="6912" width="9.140625" style="235"/>
    <col min="6913" max="6913" width="2.7109375" style="235" customWidth="1"/>
    <col min="6914" max="6915" width="6" style="235" customWidth="1"/>
    <col min="6916" max="6916" width="34.7109375" style="235" customWidth="1"/>
    <col min="6917" max="6917" width="11.28515625" style="235" customWidth="1"/>
    <col min="6918" max="6918" width="11" style="235" customWidth="1"/>
    <col min="6919" max="6919" width="9.140625" style="235"/>
    <col min="6920" max="6920" width="1.5703125" style="235" customWidth="1"/>
    <col min="6921" max="6926" width="0" style="235" hidden="1" customWidth="1"/>
    <col min="6927" max="7168" width="9.140625" style="235"/>
    <col min="7169" max="7169" width="2.7109375" style="235" customWidth="1"/>
    <col min="7170" max="7171" width="6" style="235" customWidth="1"/>
    <col min="7172" max="7172" width="34.7109375" style="235" customWidth="1"/>
    <col min="7173" max="7173" width="11.28515625" style="235" customWidth="1"/>
    <col min="7174" max="7174" width="11" style="235" customWidth="1"/>
    <col min="7175" max="7175" width="9.140625" style="235"/>
    <col min="7176" max="7176" width="1.5703125" style="235" customWidth="1"/>
    <col min="7177" max="7182" width="0" style="235" hidden="1" customWidth="1"/>
    <col min="7183" max="7424" width="9.140625" style="235"/>
    <col min="7425" max="7425" width="2.7109375" style="235" customWidth="1"/>
    <col min="7426" max="7427" width="6" style="235" customWidth="1"/>
    <col min="7428" max="7428" width="34.7109375" style="235" customWidth="1"/>
    <col min="7429" max="7429" width="11.28515625" style="235" customWidth="1"/>
    <col min="7430" max="7430" width="11" style="235" customWidth="1"/>
    <col min="7431" max="7431" width="9.140625" style="235"/>
    <col min="7432" max="7432" width="1.5703125" style="235" customWidth="1"/>
    <col min="7433" max="7438" width="0" style="235" hidden="1" customWidth="1"/>
    <col min="7439" max="7680" width="9.140625" style="235"/>
    <col min="7681" max="7681" width="2.7109375" style="235" customWidth="1"/>
    <col min="7682" max="7683" width="6" style="235" customWidth="1"/>
    <col min="7684" max="7684" width="34.7109375" style="235" customWidth="1"/>
    <col min="7685" max="7685" width="11.28515625" style="235" customWidth="1"/>
    <col min="7686" max="7686" width="11" style="235" customWidth="1"/>
    <col min="7687" max="7687" width="9.140625" style="235"/>
    <col min="7688" max="7688" width="1.5703125" style="235" customWidth="1"/>
    <col min="7689" max="7694" width="0" style="235" hidden="1" customWidth="1"/>
    <col min="7695" max="7936" width="9.140625" style="235"/>
    <col min="7937" max="7937" width="2.7109375" style="235" customWidth="1"/>
    <col min="7938" max="7939" width="6" style="235" customWidth="1"/>
    <col min="7940" max="7940" width="34.7109375" style="235" customWidth="1"/>
    <col min="7941" max="7941" width="11.28515625" style="235" customWidth="1"/>
    <col min="7942" max="7942" width="11" style="235" customWidth="1"/>
    <col min="7943" max="7943" width="9.140625" style="235"/>
    <col min="7944" max="7944" width="1.5703125" style="235" customWidth="1"/>
    <col min="7945" max="7950" width="0" style="235" hidden="1" customWidth="1"/>
    <col min="7951" max="8192" width="9.140625" style="235"/>
    <col min="8193" max="8193" width="2.7109375" style="235" customWidth="1"/>
    <col min="8194" max="8195" width="6" style="235" customWidth="1"/>
    <col min="8196" max="8196" width="34.7109375" style="235" customWidth="1"/>
    <col min="8197" max="8197" width="11.28515625" style="235" customWidth="1"/>
    <col min="8198" max="8198" width="11" style="235" customWidth="1"/>
    <col min="8199" max="8199" width="9.140625" style="235"/>
    <col min="8200" max="8200" width="1.5703125" style="235" customWidth="1"/>
    <col min="8201" max="8206" width="0" style="235" hidden="1" customWidth="1"/>
    <col min="8207" max="8448" width="9.140625" style="235"/>
    <col min="8449" max="8449" width="2.7109375" style="235" customWidth="1"/>
    <col min="8450" max="8451" width="6" style="235" customWidth="1"/>
    <col min="8452" max="8452" width="34.7109375" style="235" customWidth="1"/>
    <col min="8453" max="8453" width="11.28515625" style="235" customWidth="1"/>
    <col min="8454" max="8454" width="11" style="235" customWidth="1"/>
    <col min="8455" max="8455" width="9.140625" style="235"/>
    <col min="8456" max="8456" width="1.5703125" style="235" customWidth="1"/>
    <col min="8457" max="8462" width="0" style="235" hidden="1" customWidth="1"/>
    <col min="8463" max="8704" width="9.140625" style="235"/>
    <col min="8705" max="8705" width="2.7109375" style="235" customWidth="1"/>
    <col min="8706" max="8707" width="6" style="235" customWidth="1"/>
    <col min="8708" max="8708" width="34.7109375" style="235" customWidth="1"/>
    <col min="8709" max="8709" width="11.28515625" style="235" customWidth="1"/>
    <col min="8710" max="8710" width="11" style="235" customWidth="1"/>
    <col min="8711" max="8711" width="9.140625" style="235"/>
    <col min="8712" max="8712" width="1.5703125" style="235" customWidth="1"/>
    <col min="8713" max="8718" width="0" style="235" hidden="1" customWidth="1"/>
    <col min="8719" max="8960" width="9.140625" style="235"/>
    <col min="8961" max="8961" width="2.7109375" style="235" customWidth="1"/>
    <col min="8962" max="8963" width="6" style="235" customWidth="1"/>
    <col min="8964" max="8964" width="34.7109375" style="235" customWidth="1"/>
    <col min="8965" max="8965" width="11.28515625" style="235" customWidth="1"/>
    <col min="8966" max="8966" width="11" style="235" customWidth="1"/>
    <col min="8967" max="8967" width="9.140625" style="235"/>
    <col min="8968" max="8968" width="1.5703125" style="235" customWidth="1"/>
    <col min="8969" max="8974" width="0" style="235" hidden="1" customWidth="1"/>
    <col min="8975" max="9216" width="9.140625" style="235"/>
    <col min="9217" max="9217" width="2.7109375" style="235" customWidth="1"/>
    <col min="9218" max="9219" width="6" style="235" customWidth="1"/>
    <col min="9220" max="9220" width="34.7109375" style="235" customWidth="1"/>
    <col min="9221" max="9221" width="11.28515625" style="235" customWidth="1"/>
    <col min="9222" max="9222" width="11" style="235" customWidth="1"/>
    <col min="9223" max="9223" width="9.140625" style="235"/>
    <col min="9224" max="9224" width="1.5703125" style="235" customWidth="1"/>
    <col min="9225" max="9230" width="0" style="235" hidden="1" customWidth="1"/>
    <col min="9231" max="9472" width="9.140625" style="235"/>
    <col min="9473" max="9473" width="2.7109375" style="235" customWidth="1"/>
    <col min="9474" max="9475" width="6" style="235" customWidth="1"/>
    <col min="9476" max="9476" width="34.7109375" style="235" customWidth="1"/>
    <col min="9477" max="9477" width="11.28515625" style="235" customWidth="1"/>
    <col min="9478" max="9478" width="11" style="235" customWidth="1"/>
    <col min="9479" max="9479" width="9.140625" style="235"/>
    <col min="9480" max="9480" width="1.5703125" style="235" customWidth="1"/>
    <col min="9481" max="9486" width="0" style="235" hidden="1" customWidth="1"/>
    <col min="9487" max="9728" width="9.140625" style="235"/>
    <col min="9729" max="9729" width="2.7109375" style="235" customWidth="1"/>
    <col min="9730" max="9731" width="6" style="235" customWidth="1"/>
    <col min="9732" max="9732" width="34.7109375" style="235" customWidth="1"/>
    <col min="9733" max="9733" width="11.28515625" style="235" customWidth="1"/>
    <col min="9734" max="9734" width="11" style="235" customWidth="1"/>
    <col min="9735" max="9735" width="9.140625" style="235"/>
    <col min="9736" max="9736" width="1.5703125" style="235" customWidth="1"/>
    <col min="9737" max="9742" width="0" style="235" hidden="1" customWidth="1"/>
    <col min="9743" max="9984" width="9.140625" style="235"/>
    <col min="9985" max="9985" width="2.7109375" style="235" customWidth="1"/>
    <col min="9986" max="9987" width="6" style="235" customWidth="1"/>
    <col min="9988" max="9988" width="34.7109375" style="235" customWidth="1"/>
    <col min="9989" max="9989" width="11.28515625" style="235" customWidth="1"/>
    <col min="9990" max="9990" width="11" style="235" customWidth="1"/>
    <col min="9991" max="9991" width="9.140625" style="235"/>
    <col min="9992" max="9992" width="1.5703125" style="235" customWidth="1"/>
    <col min="9993" max="9998" width="0" style="235" hidden="1" customWidth="1"/>
    <col min="9999" max="10240" width="9.140625" style="235"/>
    <col min="10241" max="10241" width="2.7109375" style="235" customWidth="1"/>
    <col min="10242" max="10243" width="6" style="235" customWidth="1"/>
    <col min="10244" max="10244" width="34.7109375" style="235" customWidth="1"/>
    <col min="10245" max="10245" width="11.28515625" style="235" customWidth="1"/>
    <col min="10246" max="10246" width="11" style="235" customWidth="1"/>
    <col min="10247" max="10247" width="9.140625" style="235"/>
    <col min="10248" max="10248" width="1.5703125" style="235" customWidth="1"/>
    <col min="10249" max="10254" width="0" style="235" hidden="1" customWidth="1"/>
    <col min="10255" max="10496" width="9.140625" style="235"/>
    <col min="10497" max="10497" width="2.7109375" style="235" customWidth="1"/>
    <col min="10498" max="10499" width="6" style="235" customWidth="1"/>
    <col min="10500" max="10500" width="34.7109375" style="235" customWidth="1"/>
    <col min="10501" max="10501" width="11.28515625" style="235" customWidth="1"/>
    <col min="10502" max="10502" width="11" style="235" customWidth="1"/>
    <col min="10503" max="10503" width="9.140625" style="235"/>
    <col min="10504" max="10504" width="1.5703125" style="235" customWidth="1"/>
    <col min="10505" max="10510" width="0" style="235" hidden="1" customWidth="1"/>
    <col min="10511" max="10752" width="9.140625" style="235"/>
    <col min="10753" max="10753" width="2.7109375" style="235" customWidth="1"/>
    <col min="10754" max="10755" width="6" style="235" customWidth="1"/>
    <col min="10756" max="10756" width="34.7109375" style="235" customWidth="1"/>
    <col min="10757" max="10757" width="11.28515625" style="235" customWidth="1"/>
    <col min="10758" max="10758" width="11" style="235" customWidth="1"/>
    <col min="10759" max="10759" width="9.140625" style="235"/>
    <col min="10760" max="10760" width="1.5703125" style="235" customWidth="1"/>
    <col min="10761" max="10766" width="0" style="235" hidden="1" customWidth="1"/>
    <col min="10767" max="11008" width="9.140625" style="235"/>
    <col min="11009" max="11009" width="2.7109375" style="235" customWidth="1"/>
    <col min="11010" max="11011" width="6" style="235" customWidth="1"/>
    <col min="11012" max="11012" width="34.7109375" style="235" customWidth="1"/>
    <col min="11013" max="11013" width="11.28515625" style="235" customWidth="1"/>
    <col min="11014" max="11014" width="11" style="235" customWidth="1"/>
    <col min="11015" max="11015" width="9.140625" style="235"/>
    <col min="11016" max="11016" width="1.5703125" style="235" customWidth="1"/>
    <col min="11017" max="11022" width="0" style="235" hidden="1" customWidth="1"/>
    <col min="11023" max="11264" width="9.140625" style="235"/>
    <col min="11265" max="11265" width="2.7109375" style="235" customWidth="1"/>
    <col min="11266" max="11267" width="6" style="235" customWidth="1"/>
    <col min="11268" max="11268" width="34.7109375" style="235" customWidth="1"/>
    <col min="11269" max="11269" width="11.28515625" style="235" customWidth="1"/>
    <col min="11270" max="11270" width="11" style="235" customWidth="1"/>
    <col min="11271" max="11271" width="9.140625" style="235"/>
    <col min="11272" max="11272" width="1.5703125" style="235" customWidth="1"/>
    <col min="11273" max="11278" width="0" style="235" hidden="1" customWidth="1"/>
    <col min="11279" max="11520" width="9.140625" style="235"/>
    <col min="11521" max="11521" width="2.7109375" style="235" customWidth="1"/>
    <col min="11522" max="11523" width="6" style="235" customWidth="1"/>
    <col min="11524" max="11524" width="34.7109375" style="235" customWidth="1"/>
    <col min="11525" max="11525" width="11.28515625" style="235" customWidth="1"/>
    <col min="11526" max="11526" width="11" style="235" customWidth="1"/>
    <col min="11527" max="11527" width="9.140625" style="235"/>
    <col min="11528" max="11528" width="1.5703125" style="235" customWidth="1"/>
    <col min="11529" max="11534" width="0" style="235" hidden="1" customWidth="1"/>
    <col min="11535" max="11776" width="9.140625" style="235"/>
    <col min="11777" max="11777" width="2.7109375" style="235" customWidth="1"/>
    <col min="11778" max="11779" width="6" style="235" customWidth="1"/>
    <col min="11780" max="11780" width="34.7109375" style="235" customWidth="1"/>
    <col min="11781" max="11781" width="11.28515625" style="235" customWidth="1"/>
    <col min="11782" max="11782" width="11" style="235" customWidth="1"/>
    <col min="11783" max="11783" width="9.140625" style="235"/>
    <col min="11784" max="11784" width="1.5703125" style="235" customWidth="1"/>
    <col min="11785" max="11790" width="0" style="235" hidden="1" customWidth="1"/>
    <col min="11791" max="12032" width="9.140625" style="235"/>
    <col min="12033" max="12033" width="2.7109375" style="235" customWidth="1"/>
    <col min="12034" max="12035" width="6" style="235" customWidth="1"/>
    <col min="12036" max="12036" width="34.7109375" style="235" customWidth="1"/>
    <col min="12037" max="12037" width="11.28515625" style="235" customWidth="1"/>
    <col min="12038" max="12038" width="11" style="235" customWidth="1"/>
    <col min="12039" max="12039" width="9.140625" style="235"/>
    <col min="12040" max="12040" width="1.5703125" style="235" customWidth="1"/>
    <col min="12041" max="12046" width="0" style="235" hidden="1" customWidth="1"/>
    <col min="12047" max="12288" width="9.140625" style="235"/>
    <col min="12289" max="12289" width="2.7109375" style="235" customWidth="1"/>
    <col min="12290" max="12291" width="6" style="235" customWidth="1"/>
    <col min="12292" max="12292" width="34.7109375" style="235" customWidth="1"/>
    <col min="12293" max="12293" width="11.28515625" style="235" customWidth="1"/>
    <col min="12294" max="12294" width="11" style="235" customWidth="1"/>
    <col min="12295" max="12295" width="9.140625" style="235"/>
    <col min="12296" max="12296" width="1.5703125" style="235" customWidth="1"/>
    <col min="12297" max="12302" width="0" style="235" hidden="1" customWidth="1"/>
    <col min="12303" max="12544" width="9.140625" style="235"/>
    <col min="12545" max="12545" width="2.7109375" style="235" customWidth="1"/>
    <col min="12546" max="12547" width="6" style="235" customWidth="1"/>
    <col min="12548" max="12548" width="34.7109375" style="235" customWidth="1"/>
    <col min="12549" max="12549" width="11.28515625" style="235" customWidth="1"/>
    <col min="12550" max="12550" width="11" style="235" customWidth="1"/>
    <col min="12551" max="12551" width="9.140625" style="235"/>
    <col min="12552" max="12552" width="1.5703125" style="235" customWidth="1"/>
    <col min="12553" max="12558" width="0" style="235" hidden="1" customWidth="1"/>
    <col min="12559" max="12800" width="9.140625" style="235"/>
    <col min="12801" max="12801" width="2.7109375" style="235" customWidth="1"/>
    <col min="12802" max="12803" width="6" style="235" customWidth="1"/>
    <col min="12804" max="12804" width="34.7109375" style="235" customWidth="1"/>
    <col min="12805" max="12805" width="11.28515625" style="235" customWidth="1"/>
    <col min="12806" max="12806" width="11" style="235" customWidth="1"/>
    <col min="12807" max="12807" width="9.140625" style="235"/>
    <col min="12808" max="12808" width="1.5703125" style="235" customWidth="1"/>
    <col min="12809" max="12814" width="0" style="235" hidden="1" customWidth="1"/>
    <col min="12815" max="13056" width="9.140625" style="235"/>
    <col min="13057" max="13057" width="2.7109375" style="235" customWidth="1"/>
    <col min="13058" max="13059" width="6" style="235" customWidth="1"/>
    <col min="13060" max="13060" width="34.7109375" style="235" customWidth="1"/>
    <col min="13061" max="13061" width="11.28515625" style="235" customWidth="1"/>
    <col min="13062" max="13062" width="11" style="235" customWidth="1"/>
    <col min="13063" max="13063" width="9.140625" style="235"/>
    <col min="13064" max="13064" width="1.5703125" style="235" customWidth="1"/>
    <col min="13065" max="13070" width="0" style="235" hidden="1" customWidth="1"/>
    <col min="13071" max="13312" width="9.140625" style="235"/>
    <col min="13313" max="13313" width="2.7109375" style="235" customWidth="1"/>
    <col min="13314" max="13315" width="6" style="235" customWidth="1"/>
    <col min="13316" max="13316" width="34.7109375" style="235" customWidth="1"/>
    <col min="13317" max="13317" width="11.28515625" style="235" customWidth="1"/>
    <col min="13318" max="13318" width="11" style="235" customWidth="1"/>
    <col min="13319" max="13319" width="9.140625" style="235"/>
    <col min="13320" max="13320" width="1.5703125" style="235" customWidth="1"/>
    <col min="13321" max="13326" width="0" style="235" hidden="1" customWidth="1"/>
    <col min="13327" max="13568" width="9.140625" style="235"/>
    <col min="13569" max="13569" width="2.7109375" style="235" customWidth="1"/>
    <col min="13570" max="13571" width="6" style="235" customWidth="1"/>
    <col min="13572" max="13572" width="34.7109375" style="235" customWidth="1"/>
    <col min="13573" max="13573" width="11.28515625" style="235" customWidth="1"/>
    <col min="13574" max="13574" width="11" style="235" customWidth="1"/>
    <col min="13575" max="13575" width="9.140625" style="235"/>
    <col min="13576" max="13576" width="1.5703125" style="235" customWidth="1"/>
    <col min="13577" max="13582" width="0" style="235" hidden="1" customWidth="1"/>
    <col min="13583" max="13824" width="9.140625" style="235"/>
    <col min="13825" max="13825" width="2.7109375" style="235" customWidth="1"/>
    <col min="13826" max="13827" width="6" style="235" customWidth="1"/>
    <col min="13828" max="13828" width="34.7109375" style="235" customWidth="1"/>
    <col min="13829" max="13829" width="11.28515625" style="235" customWidth="1"/>
    <col min="13830" max="13830" width="11" style="235" customWidth="1"/>
    <col min="13831" max="13831" width="9.140625" style="235"/>
    <col min="13832" max="13832" width="1.5703125" style="235" customWidth="1"/>
    <col min="13833" max="13838" width="0" style="235" hidden="1" customWidth="1"/>
    <col min="13839" max="14080" width="9.140625" style="235"/>
    <col min="14081" max="14081" width="2.7109375" style="235" customWidth="1"/>
    <col min="14082" max="14083" width="6" style="235" customWidth="1"/>
    <col min="14084" max="14084" width="34.7109375" style="235" customWidth="1"/>
    <col min="14085" max="14085" width="11.28515625" style="235" customWidth="1"/>
    <col min="14086" max="14086" width="11" style="235" customWidth="1"/>
    <col min="14087" max="14087" width="9.140625" style="235"/>
    <col min="14088" max="14088" width="1.5703125" style="235" customWidth="1"/>
    <col min="14089" max="14094" width="0" style="235" hidden="1" customWidth="1"/>
    <col min="14095" max="14336" width="9.140625" style="235"/>
    <col min="14337" max="14337" width="2.7109375" style="235" customWidth="1"/>
    <col min="14338" max="14339" width="6" style="235" customWidth="1"/>
    <col min="14340" max="14340" width="34.7109375" style="235" customWidth="1"/>
    <col min="14341" max="14341" width="11.28515625" style="235" customWidth="1"/>
    <col min="14342" max="14342" width="11" style="235" customWidth="1"/>
    <col min="14343" max="14343" width="9.140625" style="235"/>
    <col min="14344" max="14344" width="1.5703125" style="235" customWidth="1"/>
    <col min="14345" max="14350" width="0" style="235" hidden="1" customWidth="1"/>
    <col min="14351" max="14592" width="9.140625" style="235"/>
    <col min="14593" max="14593" width="2.7109375" style="235" customWidth="1"/>
    <col min="14594" max="14595" width="6" style="235" customWidth="1"/>
    <col min="14596" max="14596" width="34.7109375" style="235" customWidth="1"/>
    <col min="14597" max="14597" width="11.28515625" style="235" customWidth="1"/>
    <col min="14598" max="14598" width="11" style="235" customWidth="1"/>
    <col min="14599" max="14599" width="9.140625" style="235"/>
    <col min="14600" max="14600" width="1.5703125" style="235" customWidth="1"/>
    <col min="14601" max="14606" width="0" style="235" hidden="1" customWidth="1"/>
    <col min="14607" max="14848" width="9.140625" style="235"/>
    <col min="14849" max="14849" width="2.7109375" style="235" customWidth="1"/>
    <col min="14850" max="14851" width="6" style="235" customWidth="1"/>
    <col min="14852" max="14852" width="34.7109375" style="235" customWidth="1"/>
    <col min="14853" max="14853" width="11.28515625" style="235" customWidth="1"/>
    <col min="14854" max="14854" width="11" style="235" customWidth="1"/>
    <col min="14855" max="14855" width="9.140625" style="235"/>
    <col min="14856" max="14856" width="1.5703125" style="235" customWidth="1"/>
    <col min="14857" max="14862" width="0" style="235" hidden="1" customWidth="1"/>
    <col min="14863" max="15104" width="9.140625" style="235"/>
    <col min="15105" max="15105" width="2.7109375" style="235" customWidth="1"/>
    <col min="15106" max="15107" width="6" style="235" customWidth="1"/>
    <col min="15108" max="15108" width="34.7109375" style="235" customWidth="1"/>
    <col min="15109" max="15109" width="11.28515625" style="235" customWidth="1"/>
    <col min="15110" max="15110" width="11" style="235" customWidth="1"/>
    <col min="15111" max="15111" width="9.140625" style="235"/>
    <col min="15112" max="15112" width="1.5703125" style="235" customWidth="1"/>
    <col min="15113" max="15118" width="0" style="235" hidden="1" customWidth="1"/>
    <col min="15119" max="15360" width="9.140625" style="235"/>
    <col min="15361" max="15361" width="2.7109375" style="235" customWidth="1"/>
    <col min="15362" max="15363" width="6" style="235" customWidth="1"/>
    <col min="15364" max="15364" width="34.7109375" style="235" customWidth="1"/>
    <col min="15365" max="15365" width="11.28515625" style="235" customWidth="1"/>
    <col min="15366" max="15366" width="11" style="235" customWidth="1"/>
    <col min="15367" max="15367" width="9.140625" style="235"/>
    <col min="15368" max="15368" width="1.5703125" style="235" customWidth="1"/>
    <col min="15369" max="15374" width="0" style="235" hidden="1" customWidth="1"/>
    <col min="15375" max="15616" width="9.140625" style="235"/>
    <col min="15617" max="15617" width="2.7109375" style="235" customWidth="1"/>
    <col min="15618" max="15619" width="6" style="235" customWidth="1"/>
    <col min="15620" max="15620" width="34.7109375" style="235" customWidth="1"/>
    <col min="15621" max="15621" width="11.28515625" style="235" customWidth="1"/>
    <col min="15622" max="15622" width="11" style="235" customWidth="1"/>
    <col min="15623" max="15623" width="9.140625" style="235"/>
    <col min="15624" max="15624" width="1.5703125" style="235" customWidth="1"/>
    <col min="15625" max="15630" width="0" style="235" hidden="1" customWidth="1"/>
    <col min="15631" max="15872" width="9.140625" style="235"/>
    <col min="15873" max="15873" width="2.7109375" style="235" customWidth="1"/>
    <col min="15874" max="15875" width="6" style="235" customWidth="1"/>
    <col min="15876" max="15876" width="34.7109375" style="235" customWidth="1"/>
    <col min="15877" max="15877" width="11.28515625" style="235" customWidth="1"/>
    <col min="15878" max="15878" width="11" style="235" customWidth="1"/>
    <col min="15879" max="15879" width="9.140625" style="235"/>
    <col min="15880" max="15880" width="1.5703125" style="235" customWidth="1"/>
    <col min="15881" max="15886" width="0" style="235" hidden="1" customWidth="1"/>
    <col min="15887" max="16128" width="9.140625" style="235"/>
    <col min="16129" max="16129" width="2.7109375" style="235" customWidth="1"/>
    <col min="16130" max="16131" width="6" style="235" customWidth="1"/>
    <col min="16132" max="16132" width="34.7109375" style="235" customWidth="1"/>
    <col min="16133" max="16133" width="11.28515625" style="235" customWidth="1"/>
    <col min="16134" max="16134" width="11" style="235" customWidth="1"/>
    <col min="16135" max="16135" width="9.140625" style="235"/>
    <col min="16136" max="16136" width="1.5703125" style="235" customWidth="1"/>
    <col min="16137" max="16142" width="0" style="235" hidden="1" customWidth="1"/>
    <col min="16143" max="16384" width="9.140625" style="235"/>
  </cols>
  <sheetData>
    <row r="1" spans="1:15" ht="31.5" customHeight="1">
      <c r="B1" s="992" t="s">
        <v>356</v>
      </c>
      <c r="C1" s="992"/>
      <c r="D1" s="992"/>
      <c r="E1" s="992"/>
      <c r="F1" s="992"/>
      <c r="G1" s="992"/>
    </row>
    <row r="2" spans="1:15" ht="24.75" customHeight="1">
      <c r="B2" s="280"/>
      <c r="C2" s="280"/>
      <c r="D2" s="280"/>
      <c r="E2" s="280"/>
      <c r="F2" s="281"/>
      <c r="G2" s="280"/>
    </row>
    <row r="3" spans="1:15" ht="73.5" customHeight="1">
      <c r="B3" s="993" t="str">
        <f>"A "&amp;PREENCHER!G6&amp;" "&amp;PREENCHER!$F$6&amp;" declara para os devidos e necessários fins que na elaboração do orçamento referente ao objeto ''"&amp;PREENCHER!$E$9&amp;"'', CT nº "&amp;PREENCHER!$E$8&amp;", foi adotado percentual de BDI de "&amp;E30&amp; " % (conforme planilha da composição analítica abaixo) e encargos " &amp;PREENCHER!$E$10&amp; " em conformidade com o estabelecido no SINAPI."</f>
        <v>A Prefeitura Municipal de Presidente Lucena declara para os devidos e necessários fins que na elaboração do orçamento referente ao objeto ''Pavimentação Asfáltica de diversas vias'', CT nº XXX.XXX-XX/XXXX, foi adotado percentual de BDI de 24,03 % (conforme planilha da composição analítica abaixo) e encargos sem desoneração em conformidade com o estabelecido no SINAPI.</v>
      </c>
      <c r="C3" s="993"/>
      <c r="D3" s="993"/>
      <c r="E3" s="993"/>
      <c r="F3" s="993"/>
      <c r="G3" s="993"/>
    </row>
    <row r="4" spans="1:15" ht="34.5" customHeight="1">
      <c r="B4" s="993" t="str">
        <f>"Declaramos ainda que a alíquota de ISSQN no município é de "&amp;PREENCHER!$E$21&amp;"%, a incidir sobre o "&amp;PREENCHER!$E$22&amp; "."</f>
        <v>Declaramos ainda que a alíquota de ISSQN no município é de 2%, a incidir sobre o valor total da obra.</v>
      </c>
      <c r="C4" s="993"/>
      <c r="D4" s="993"/>
      <c r="E4" s="993"/>
      <c r="F4" s="993"/>
      <c r="G4" s="993"/>
    </row>
    <row r="5" spans="1:15" ht="15" customHeight="1">
      <c r="B5" s="994" t="str">
        <f>IF(PREENCHER!E22="valor total da obra","","Para a obra em questão é considerada a relação de "&amp;PREENCHER!$E$23&amp;"% é mão de obra e "&amp;100-PREENCHER!$E$23&amp;"% é material.")</f>
        <v/>
      </c>
      <c r="C5" s="994"/>
      <c r="D5" s="994"/>
      <c r="E5" s="994"/>
      <c r="F5" s="994"/>
      <c r="G5" s="994"/>
    </row>
    <row r="6" spans="1:15" ht="15" customHeight="1">
      <c r="B6" s="995" t="str">
        <f>"O regime de execução da obra será "&amp;PREENCHER!E19&amp;"."</f>
        <v>O regime de execução da obra será empreitada por preço global.</v>
      </c>
      <c r="C6" s="995"/>
      <c r="D6" s="995"/>
      <c r="E6" s="995"/>
      <c r="F6" s="995"/>
      <c r="G6" s="995"/>
    </row>
    <row r="7" spans="1:15" ht="33.75" customHeight="1">
      <c r="B7" s="991" t="str">
        <f>"Oportunamente, declaramos que a opção de orçamento considerando os encargos "&amp;PREENCHER!E10&amp;" é a opção mais adequada para a Administração Pública Municipal."</f>
        <v>Oportunamente, declaramos que a opção de orçamento considerando os encargos sem desoneração é a opção mais adequada para a Administração Pública Municipal.</v>
      </c>
      <c r="C7" s="991"/>
      <c r="D7" s="991"/>
      <c r="E7" s="991"/>
      <c r="F7" s="991"/>
      <c r="G7" s="991"/>
    </row>
    <row r="8" spans="1:15" ht="38.25" customHeight="1" thickBot="1">
      <c r="B8" s="282"/>
      <c r="C8" s="282"/>
      <c r="D8" s="282"/>
      <c r="E8" s="282"/>
      <c r="F8" s="282"/>
      <c r="G8" s="282"/>
      <c r="O8" s="283"/>
    </row>
    <row r="9" spans="1:15" ht="16.5" thickBot="1">
      <c r="B9" s="999" t="s">
        <v>357</v>
      </c>
      <c r="C9" s="1000"/>
      <c r="D9" s="1000"/>
      <c r="E9" s="1000"/>
      <c r="F9" s="1000"/>
      <c r="G9" s="1001"/>
      <c r="I9" s="237"/>
      <c r="J9" s="284"/>
      <c r="K9" s="237"/>
      <c r="L9" s="237"/>
      <c r="M9" s="237"/>
      <c r="N9" s="237"/>
    </row>
    <row r="10" spans="1:15" ht="6" customHeight="1" thickBot="1">
      <c r="B10" s="280"/>
      <c r="C10" s="280"/>
      <c r="D10" s="280"/>
      <c r="E10" s="280"/>
      <c r="F10" s="281"/>
      <c r="G10" s="280"/>
      <c r="I10" s="237"/>
      <c r="J10" s="237"/>
      <c r="K10" s="237"/>
      <c r="L10" s="237"/>
      <c r="M10" s="237"/>
      <c r="N10" s="237"/>
    </row>
    <row r="11" spans="1:15" ht="24" customHeight="1" thickBot="1">
      <c r="B11" s="1002" t="s">
        <v>358</v>
      </c>
      <c r="C11" s="1003"/>
      <c r="D11" s="1004" t="str">
        <f>PREENCHER!D31</f>
        <v>2 - Construção de Rodovias e Ferrovias</v>
      </c>
      <c r="E11" s="1004"/>
      <c r="F11" s="1004"/>
      <c r="G11" s="1005"/>
      <c r="I11" s="237"/>
      <c r="J11" s="237"/>
      <c r="K11" s="237"/>
      <c r="L11" s="237"/>
      <c r="M11" s="237"/>
      <c r="N11" s="237"/>
    </row>
    <row r="12" spans="1:15" ht="5.25" customHeight="1" thickBot="1">
      <c r="B12" s="280"/>
      <c r="C12" s="280"/>
      <c r="D12" s="280"/>
      <c r="E12" s="280"/>
      <c r="F12" s="281"/>
      <c r="G12" s="280"/>
      <c r="I12" s="237"/>
      <c r="J12" s="237"/>
      <c r="K12" s="237"/>
      <c r="L12" s="237"/>
      <c r="M12" s="237"/>
      <c r="N12" s="237"/>
    </row>
    <row r="13" spans="1:15" ht="13.5" thickBot="1">
      <c r="B13" s="1006" t="s">
        <v>290</v>
      </c>
      <c r="C13" s="1007"/>
      <c r="D13" s="1007"/>
      <c r="E13" s="285" t="s">
        <v>291</v>
      </c>
      <c r="F13" s="285" t="s">
        <v>292</v>
      </c>
      <c r="G13" s="286" t="s">
        <v>293</v>
      </c>
      <c r="I13" s="237"/>
      <c r="J13" s="237" t="s">
        <v>294</v>
      </c>
      <c r="K13" s="237"/>
      <c r="L13" s="237"/>
      <c r="M13" s="237" t="s">
        <v>295</v>
      </c>
      <c r="N13" s="237" t="s">
        <v>293</v>
      </c>
    </row>
    <row r="14" spans="1:15">
      <c r="A14" s="237"/>
      <c r="B14" s="287" t="s">
        <v>202</v>
      </c>
      <c r="C14" s="1008" t="s">
        <v>296</v>
      </c>
      <c r="D14" s="1009"/>
      <c r="E14" s="288">
        <f>PREENCHER!G34</f>
        <v>4.67</v>
      </c>
      <c r="F14" s="289">
        <f>PREENCHER!H34</f>
        <v>3.8</v>
      </c>
      <c r="G14" s="289">
        <f>PREENCHER!I34</f>
        <v>4.67</v>
      </c>
      <c r="I14" s="237"/>
      <c r="J14" s="237" t="s">
        <v>289</v>
      </c>
      <c r="K14" s="237"/>
      <c r="L14" s="237" t="s">
        <v>297</v>
      </c>
      <c r="M14" s="261">
        <v>3</v>
      </c>
      <c r="N14" s="261">
        <v>5.5</v>
      </c>
    </row>
    <row r="15" spans="1:15">
      <c r="A15" s="237"/>
      <c r="B15" s="290" t="s">
        <v>298</v>
      </c>
      <c r="C15" s="1010" t="s">
        <v>299</v>
      </c>
      <c r="D15" s="1011"/>
      <c r="E15" s="288">
        <f>PREENCHER!G35</f>
        <v>0.74</v>
      </c>
      <c r="F15" s="289">
        <f>PREENCHER!H35</f>
        <v>0.32</v>
      </c>
      <c r="G15" s="289">
        <f>PREENCHER!I35</f>
        <v>0.74</v>
      </c>
      <c r="I15" s="237"/>
      <c r="J15" s="237" t="s">
        <v>300</v>
      </c>
      <c r="K15" s="237"/>
      <c r="L15" s="237" t="s">
        <v>301</v>
      </c>
      <c r="M15" s="261">
        <v>0.8</v>
      </c>
      <c r="N15" s="261">
        <v>1</v>
      </c>
    </row>
    <row r="16" spans="1:15">
      <c r="A16" s="237"/>
      <c r="B16" s="290" t="s">
        <v>203</v>
      </c>
      <c r="C16" s="1010" t="s">
        <v>302</v>
      </c>
      <c r="D16" s="1011"/>
      <c r="E16" s="288">
        <f>PREENCHER!G36</f>
        <v>0.97</v>
      </c>
      <c r="F16" s="289">
        <f>PREENCHER!H36</f>
        <v>0.5</v>
      </c>
      <c r="G16" s="289">
        <f>PREENCHER!I36</f>
        <v>0.97</v>
      </c>
      <c r="I16" s="237"/>
      <c r="J16" s="237" t="s">
        <v>303</v>
      </c>
      <c r="K16" s="237"/>
      <c r="L16" s="237" t="s">
        <v>304</v>
      </c>
      <c r="M16" s="261">
        <v>0.97</v>
      </c>
      <c r="N16" s="261">
        <v>1.27</v>
      </c>
    </row>
    <row r="17" spans="1:19">
      <c r="A17" s="237"/>
      <c r="B17" s="290" t="s">
        <v>204</v>
      </c>
      <c r="C17" s="1010" t="s">
        <v>359</v>
      </c>
      <c r="D17" s="1011"/>
      <c r="E17" s="288">
        <f>PREENCHER!G37</f>
        <v>1.21</v>
      </c>
      <c r="F17" s="289">
        <f>PREENCHER!H37</f>
        <v>1.02</v>
      </c>
      <c r="G17" s="289">
        <f>PREENCHER!I37</f>
        <v>1.21</v>
      </c>
      <c r="I17" s="237"/>
      <c r="J17" s="237" t="s">
        <v>306</v>
      </c>
      <c r="K17" s="237"/>
      <c r="L17" s="237" t="s">
        <v>307</v>
      </c>
      <c r="M17" s="261">
        <v>0.59</v>
      </c>
      <c r="N17" s="261">
        <v>1.39</v>
      </c>
    </row>
    <row r="18" spans="1:19">
      <c r="A18" s="237"/>
      <c r="B18" s="290" t="s">
        <v>205</v>
      </c>
      <c r="C18" s="1010" t="s">
        <v>308</v>
      </c>
      <c r="D18" s="1011"/>
      <c r="E18" s="288">
        <f>PREENCHER!G38</f>
        <v>8.69</v>
      </c>
      <c r="F18" s="289">
        <f>PREENCHER!H38</f>
        <v>6.64</v>
      </c>
      <c r="G18" s="289">
        <f>PREENCHER!I38</f>
        <v>8.69</v>
      </c>
      <c r="I18" s="237"/>
      <c r="J18" s="237" t="s">
        <v>309</v>
      </c>
      <c r="K18" s="237"/>
      <c r="L18" s="237" t="s">
        <v>310</v>
      </c>
      <c r="M18" s="261">
        <v>6.16</v>
      </c>
      <c r="N18" s="261">
        <v>8.9600000000000009</v>
      </c>
    </row>
    <row r="19" spans="1:19">
      <c r="B19" s="290" t="s">
        <v>206</v>
      </c>
      <c r="C19" s="1010" t="s">
        <v>311</v>
      </c>
      <c r="D19" s="1011"/>
      <c r="E19" s="288">
        <f>SUM(E20:E23)</f>
        <v>5.65</v>
      </c>
      <c r="F19" s="1012" t="s">
        <v>312</v>
      </c>
      <c r="G19" s="1013"/>
      <c r="I19" s="237"/>
      <c r="J19" s="237"/>
      <c r="K19" s="237"/>
      <c r="L19" s="237" t="s">
        <v>313</v>
      </c>
      <c r="M19" s="261">
        <v>3.8</v>
      </c>
      <c r="N19" s="261">
        <v>4.67</v>
      </c>
    </row>
    <row r="20" spans="1:19">
      <c r="B20" s="290"/>
      <c r="C20" s="291"/>
      <c r="D20" s="292" t="s">
        <v>238</v>
      </c>
      <c r="E20" s="293">
        <f>PREENCHER!G40</f>
        <v>0.65</v>
      </c>
      <c r="F20" s="1014"/>
      <c r="G20" s="1015"/>
      <c r="I20" s="237"/>
      <c r="J20" s="237"/>
      <c r="K20" s="237"/>
      <c r="L20" s="237"/>
      <c r="M20" s="261"/>
      <c r="N20" s="261"/>
      <c r="S20" s="283"/>
    </row>
    <row r="21" spans="1:19">
      <c r="B21" s="290"/>
      <c r="C21" s="291"/>
      <c r="D21" s="292" t="s">
        <v>314</v>
      </c>
      <c r="E21" s="293">
        <f>PREENCHER!G41</f>
        <v>3</v>
      </c>
      <c r="F21" s="1014"/>
      <c r="G21" s="1015"/>
      <c r="I21" s="237"/>
      <c r="J21" s="237"/>
      <c r="K21" s="237"/>
      <c r="L21" s="237"/>
      <c r="M21" s="261"/>
      <c r="N21" s="261"/>
    </row>
    <row r="22" spans="1:19">
      <c r="B22" s="290"/>
      <c r="C22" s="291"/>
      <c r="D22" s="292" t="s">
        <v>360</v>
      </c>
      <c r="E22" s="293">
        <f>PREENCHER!G42</f>
        <v>2</v>
      </c>
      <c r="F22" s="1014"/>
      <c r="G22" s="1015"/>
      <c r="I22" s="237"/>
      <c r="J22" s="237"/>
      <c r="K22" s="237"/>
      <c r="L22" s="237"/>
      <c r="M22" s="261"/>
      <c r="N22" s="261"/>
    </row>
    <row r="23" spans="1:19">
      <c r="B23" s="290"/>
      <c r="C23" s="291"/>
      <c r="D23" s="292" t="s">
        <v>361</v>
      </c>
      <c r="E23" s="293">
        <f>PREENCHER!G43</f>
        <v>0</v>
      </c>
      <c r="F23" s="1016"/>
      <c r="G23" s="1017"/>
      <c r="I23" s="237"/>
      <c r="J23" s="237"/>
      <c r="K23" s="237"/>
      <c r="L23" s="237"/>
      <c r="M23" s="261"/>
      <c r="N23" s="261"/>
    </row>
    <row r="24" spans="1:19" ht="4.5" customHeight="1" thickBot="1">
      <c r="B24" s="280"/>
      <c r="C24" s="280"/>
      <c r="D24" s="280"/>
      <c r="E24" s="280"/>
      <c r="F24" s="281"/>
      <c r="G24" s="280"/>
      <c r="I24" s="237"/>
      <c r="J24" s="237"/>
      <c r="K24" s="237"/>
      <c r="L24" s="237" t="s">
        <v>319</v>
      </c>
      <c r="M24" s="261">
        <v>0.5</v>
      </c>
      <c r="N24" s="261">
        <v>0.97</v>
      </c>
    </row>
    <row r="25" spans="1:19" ht="13.5" thickBot="1">
      <c r="B25" s="996" t="s">
        <v>320</v>
      </c>
      <c r="C25" s="997"/>
      <c r="D25" s="997"/>
      <c r="E25" s="998"/>
      <c r="F25" s="294"/>
      <c r="G25" s="280"/>
      <c r="I25" s="237"/>
      <c r="J25" s="237"/>
      <c r="K25" s="237"/>
      <c r="L25" s="237" t="s">
        <v>321</v>
      </c>
      <c r="M25" s="261">
        <v>1.02</v>
      </c>
      <c r="N25" s="261">
        <v>1.21</v>
      </c>
    </row>
    <row r="26" spans="1:19" ht="22.5" customHeight="1" thickBot="1">
      <c r="B26" s="1018"/>
      <c r="C26" s="1020" t="s">
        <v>322</v>
      </c>
      <c r="D26" s="295" t="s">
        <v>323</v>
      </c>
      <c r="E26" s="1022">
        <v>-1</v>
      </c>
      <c r="F26" s="281"/>
      <c r="G26" s="280"/>
      <c r="I26" s="237"/>
      <c r="J26" s="237"/>
      <c r="K26" s="237"/>
      <c r="L26" s="237" t="s">
        <v>324</v>
      </c>
      <c r="M26" s="261">
        <v>6.64</v>
      </c>
      <c r="N26" s="261">
        <v>8.69</v>
      </c>
    </row>
    <row r="27" spans="1:19" ht="21" customHeight="1" thickBot="1">
      <c r="B27" s="1019"/>
      <c r="C27" s="1021"/>
      <c r="D27" s="296" t="s">
        <v>325</v>
      </c>
      <c r="E27" s="1023"/>
      <c r="F27" s="281"/>
      <c r="G27" s="280"/>
      <c r="I27" s="237"/>
      <c r="J27" s="237"/>
      <c r="K27" s="237"/>
      <c r="L27" s="237" t="s">
        <v>326</v>
      </c>
      <c r="M27" s="261">
        <v>3.43</v>
      </c>
      <c r="N27" s="261">
        <v>6.71</v>
      </c>
    </row>
    <row r="28" spans="1:19" ht="3" customHeight="1" thickBot="1">
      <c r="B28" s="280"/>
      <c r="C28" s="280"/>
      <c r="D28" s="280"/>
      <c r="E28" s="280"/>
      <c r="F28" s="281"/>
      <c r="G28" s="280"/>
      <c r="I28" s="237"/>
      <c r="J28" s="237"/>
      <c r="K28" s="237"/>
      <c r="L28" s="237" t="s">
        <v>327</v>
      </c>
      <c r="M28" s="261">
        <v>0.28000000000000003</v>
      </c>
      <c r="N28" s="261">
        <v>0.75</v>
      </c>
    </row>
    <row r="29" spans="1:19" ht="15" customHeight="1" thickBot="1">
      <c r="B29" s="1024" t="s">
        <v>328</v>
      </c>
      <c r="C29" s="1025"/>
      <c r="D29" s="1025"/>
      <c r="E29" s="1026"/>
      <c r="F29" s="1027" t="str">
        <f>IF(PREENCHER!G51&gt;PREENCHER!H51,IF(PREENCHER!G51&lt;PREENCHER!I51,"De acordo com o Acórdão 2622/2013-TCU.","NÃO"),"XXX BDI FORA DOS LIMITES AC 2622/13 XXX")</f>
        <v>De acordo com o Acórdão 2622/2013-TCU.</v>
      </c>
      <c r="G29" s="1028"/>
      <c r="I29" s="237"/>
      <c r="J29" s="237"/>
      <c r="K29" s="237"/>
      <c r="L29" s="237" t="s">
        <v>329</v>
      </c>
      <c r="M29" s="261">
        <v>1</v>
      </c>
      <c r="N29" s="261">
        <v>1.74</v>
      </c>
    </row>
    <row r="30" spans="1:19" ht="16.5" thickBot="1">
      <c r="A30" s="237"/>
      <c r="B30" s="1029" t="s">
        <v>328</v>
      </c>
      <c r="C30" s="1030"/>
      <c r="D30" s="1030"/>
      <c r="E30" s="297">
        <f>100*ROUND((((1+E14/100+E15/100+E16/100)*(1+E17/100)*(1+E18/100))/(1-E19/100))-1,4)</f>
        <v>24.03</v>
      </c>
      <c r="F30" s="1027"/>
      <c r="G30" s="1028"/>
      <c r="I30" s="237"/>
      <c r="J30" s="237"/>
      <c r="K30" s="237"/>
      <c r="L30" s="237" t="s">
        <v>330</v>
      </c>
      <c r="M30" s="261">
        <v>0.94</v>
      </c>
      <c r="N30" s="261">
        <v>1.17</v>
      </c>
    </row>
    <row r="31" spans="1:19" ht="8.25" customHeight="1">
      <c r="B31" s="280"/>
      <c r="C31" s="280"/>
      <c r="D31" s="280"/>
      <c r="E31" s="280"/>
      <c r="F31" s="281"/>
      <c r="G31" s="280"/>
      <c r="I31" s="237"/>
      <c r="J31" s="237"/>
      <c r="K31" s="237"/>
      <c r="L31" s="237" t="s">
        <v>362</v>
      </c>
      <c r="M31" s="261">
        <v>5.29</v>
      </c>
      <c r="N31" s="261">
        <v>7.93</v>
      </c>
    </row>
    <row r="32" spans="1:19" ht="35.25" customHeight="1">
      <c r="B32" s="280"/>
      <c r="C32" s="280"/>
      <c r="D32" s="280"/>
      <c r="E32" s="280"/>
      <c r="F32" s="281"/>
      <c r="G32" s="280"/>
      <c r="I32" s="237"/>
      <c r="J32" s="237"/>
      <c r="K32" s="237"/>
      <c r="L32" s="237"/>
      <c r="M32" s="261"/>
      <c r="N32" s="261"/>
    </row>
    <row r="33" spans="2:14" ht="15" customHeight="1">
      <c r="B33" s="280"/>
      <c r="C33" s="280"/>
      <c r="D33" s="280"/>
      <c r="E33" s="1032" t="str">
        <f ca="1">PREENCHER!E7&amp;", "&amp;TEXT(PREENCHER!E11,"dd")&amp; " de "&amp;TEXT(PREENCHER!E11,"mmmm")&amp;" de "&amp;TEXT(PREENCHER!E11,"aaaa")</f>
        <v>Presidente Lucena, 22 de março de 2019</v>
      </c>
      <c r="F33" s="1032"/>
      <c r="G33" s="1032"/>
      <c r="I33" s="237"/>
      <c r="J33" s="237"/>
      <c r="K33" s="237"/>
      <c r="L33" s="237"/>
      <c r="M33" s="261"/>
      <c r="N33" s="261"/>
    </row>
    <row r="34" spans="2:14" ht="34.5" customHeight="1">
      <c r="B34" s="1033"/>
      <c r="C34" s="1033"/>
      <c r="D34" s="1033"/>
      <c r="E34" s="1033"/>
      <c r="F34" s="1033"/>
      <c r="G34" s="1033"/>
      <c r="I34" s="237"/>
      <c r="J34" s="237"/>
      <c r="K34" s="237"/>
      <c r="L34" s="237" t="s">
        <v>335</v>
      </c>
      <c r="M34" s="261">
        <v>0.25</v>
      </c>
      <c r="N34" s="261">
        <v>0.56000000000000005</v>
      </c>
    </row>
    <row r="35" spans="2:14" ht="11.25" customHeight="1">
      <c r="B35" s="298"/>
      <c r="C35" s="298"/>
      <c r="D35" s="280"/>
      <c r="E35" s="280"/>
      <c r="F35" s="281"/>
      <c r="G35" s="280"/>
      <c r="I35" s="237"/>
      <c r="J35" s="237"/>
      <c r="K35" s="237"/>
      <c r="L35" s="237" t="s">
        <v>337</v>
      </c>
      <c r="M35" s="261">
        <v>1</v>
      </c>
      <c r="N35" s="261">
        <v>1.97</v>
      </c>
    </row>
    <row r="36" spans="2:14">
      <c r="B36" s="1034" t="str">
        <f>PREENCHER!E13&amp;" - Responsável Técnico"</f>
        <v>Felipe Camargo - Responsável Técnico</v>
      </c>
      <c r="C36" s="1034"/>
      <c r="D36" s="1034"/>
      <c r="E36" s="280"/>
      <c r="F36" s="281"/>
      <c r="G36" s="280"/>
      <c r="I36" s="237"/>
      <c r="J36" s="237"/>
      <c r="K36" s="237"/>
      <c r="L36" s="237" t="s">
        <v>338</v>
      </c>
      <c r="M36" s="261">
        <v>1.01</v>
      </c>
      <c r="N36" s="261">
        <v>1.1100000000000001</v>
      </c>
    </row>
    <row r="37" spans="2:14" s="241" customFormat="1">
      <c r="B37" s="1031" t="str">
        <f>PREENCHER!B14&amp;PREENCHER!E14</f>
        <v>CREA nº86.892-RS</v>
      </c>
      <c r="C37" s="1031"/>
      <c r="D37" s="1031"/>
      <c r="E37" s="299"/>
      <c r="F37" s="300"/>
      <c r="G37" s="299"/>
      <c r="I37" s="239"/>
      <c r="J37" s="239"/>
      <c r="K37" s="239"/>
      <c r="L37" s="239" t="s">
        <v>339</v>
      </c>
      <c r="M37" s="301">
        <v>8</v>
      </c>
      <c r="N37" s="301">
        <v>9.51</v>
      </c>
    </row>
    <row r="38" spans="2:14" s="241" customFormat="1">
      <c r="B38" s="1031"/>
      <c r="C38" s="1031"/>
      <c r="D38" s="1031"/>
      <c r="E38" s="299"/>
      <c r="F38" s="300"/>
      <c r="G38" s="299"/>
      <c r="I38" s="239"/>
      <c r="J38" s="239"/>
      <c r="K38" s="239"/>
      <c r="L38" s="239" t="s">
        <v>340</v>
      </c>
      <c r="M38" s="301">
        <v>4</v>
      </c>
      <c r="N38" s="301">
        <v>7.85</v>
      </c>
    </row>
    <row r="39" spans="2:14" ht="8.25" customHeight="1">
      <c r="B39" s="280"/>
      <c r="C39" s="280"/>
      <c r="D39" s="280"/>
      <c r="E39" s="280"/>
      <c r="F39" s="281"/>
      <c r="G39" s="280"/>
      <c r="I39" s="237"/>
      <c r="J39" s="237"/>
      <c r="K39" s="237"/>
      <c r="L39" s="237" t="s">
        <v>341</v>
      </c>
      <c r="M39" s="261">
        <v>0.81</v>
      </c>
      <c r="N39" s="261">
        <v>1.99</v>
      </c>
    </row>
    <row r="40" spans="2:14">
      <c r="B40" s="298"/>
      <c r="C40" s="298"/>
      <c r="D40" s="280"/>
      <c r="E40" s="280"/>
      <c r="F40" s="281"/>
      <c r="G40" s="280"/>
      <c r="I40" s="237"/>
      <c r="J40" s="237"/>
      <c r="K40" s="237"/>
      <c r="L40" s="237" t="s">
        <v>342</v>
      </c>
      <c r="M40" s="261">
        <v>1.46</v>
      </c>
      <c r="N40" s="261">
        <v>3.16</v>
      </c>
    </row>
    <row r="41" spans="2:14">
      <c r="B41" s="1034" t="str">
        <f>PREENCHER!E16&amp;" - Prefeito"</f>
        <v>GILMAR FUHR - Prefeito</v>
      </c>
      <c r="C41" s="1034"/>
      <c r="D41" s="1034"/>
      <c r="E41" s="280"/>
      <c r="F41" s="281"/>
      <c r="G41" s="280"/>
      <c r="I41" s="237"/>
      <c r="J41" s="237"/>
      <c r="K41" s="237"/>
      <c r="L41" s="237" t="s">
        <v>343</v>
      </c>
      <c r="M41" s="261">
        <v>0.94</v>
      </c>
      <c r="N41" s="261">
        <v>1.33</v>
      </c>
    </row>
    <row r="42" spans="2:14">
      <c r="B42" s="1031" t="str">
        <f>"CPF nº"&amp;PREENCHER!E17</f>
        <v>CPF nº968.607.900-91</v>
      </c>
      <c r="C42" s="1031"/>
      <c r="D42" s="1031"/>
      <c r="I42" s="237"/>
      <c r="J42" s="237"/>
      <c r="K42" s="237"/>
      <c r="L42" s="237" t="s">
        <v>346</v>
      </c>
      <c r="M42" s="261">
        <v>0.3</v>
      </c>
      <c r="N42" s="261">
        <v>0.82</v>
      </c>
    </row>
    <row r="43" spans="2:14">
      <c r="I43" s="237"/>
      <c r="J43" s="237"/>
      <c r="K43" s="237"/>
      <c r="L43" s="237" t="s">
        <v>349</v>
      </c>
      <c r="M43" s="261">
        <v>3.5</v>
      </c>
      <c r="N43" s="261">
        <v>6.22</v>
      </c>
    </row>
    <row r="44" spans="2:14">
      <c r="I44" s="237"/>
      <c r="J44" s="237"/>
      <c r="K44" s="237"/>
      <c r="L44" s="237" t="s">
        <v>350</v>
      </c>
      <c r="M44" s="261">
        <v>20.34</v>
      </c>
      <c r="N44" s="261">
        <v>25</v>
      </c>
    </row>
    <row r="45" spans="2:14">
      <c r="I45" s="237"/>
      <c r="J45" s="237"/>
      <c r="K45" s="237"/>
      <c r="L45" s="237" t="s">
        <v>351</v>
      </c>
      <c r="M45" s="261">
        <v>19.600000000000001</v>
      </c>
      <c r="N45" s="261">
        <v>24.23</v>
      </c>
    </row>
    <row r="46" spans="2:14">
      <c r="I46" s="237"/>
      <c r="J46" s="237"/>
      <c r="K46" s="237"/>
      <c r="L46" s="237" t="s">
        <v>352</v>
      </c>
      <c r="M46" s="261">
        <v>20.76</v>
      </c>
      <c r="N46" s="261">
        <v>26.44</v>
      </c>
    </row>
    <row r="47" spans="2:14">
      <c r="I47" s="237"/>
      <c r="J47" s="237"/>
      <c r="K47" s="237"/>
      <c r="L47" s="237" t="s">
        <v>353</v>
      </c>
      <c r="M47" s="261">
        <v>24</v>
      </c>
      <c r="N47" s="261">
        <v>27.86</v>
      </c>
    </row>
    <row r="48" spans="2:14">
      <c r="I48" s="237"/>
      <c r="J48" s="237"/>
      <c r="K48" s="237"/>
      <c r="L48" s="237" t="s">
        <v>354</v>
      </c>
      <c r="M48" s="261">
        <v>22.8</v>
      </c>
      <c r="N48" s="261">
        <v>30.95</v>
      </c>
    </row>
    <row r="49" spans="9:14">
      <c r="I49" s="237"/>
      <c r="J49" s="237"/>
      <c r="K49" s="237"/>
      <c r="L49" s="237" t="s">
        <v>355</v>
      </c>
      <c r="M49" s="261">
        <v>11.1</v>
      </c>
      <c r="N49" s="261">
        <v>16.8</v>
      </c>
    </row>
    <row r="50" spans="9:14">
      <c r="I50" s="237"/>
      <c r="J50" s="237"/>
      <c r="K50" s="237"/>
      <c r="L50" s="237"/>
      <c r="M50" s="237"/>
      <c r="N50" s="237"/>
    </row>
    <row r="51" spans="9:14">
      <c r="I51" s="237"/>
      <c r="J51" s="237"/>
      <c r="K51" s="237"/>
      <c r="L51" s="237"/>
      <c r="M51" s="237"/>
      <c r="N51" s="237"/>
    </row>
    <row r="52" spans="9:14">
      <c r="I52" s="237"/>
      <c r="J52" s="237"/>
      <c r="K52" s="237"/>
      <c r="L52" s="237"/>
      <c r="M52" s="237"/>
      <c r="N52" s="237"/>
    </row>
    <row r="53" spans="9:14">
      <c r="I53" s="237"/>
      <c r="J53" s="237"/>
      <c r="K53" s="237"/>
      <c r="L53" s="237"/>
      <c r="M53" s="237"/>
      <c r="N53" s="237"/>
    </row>
    <row r="54" spans="9:14">
      <c r="I54" s="237"/>
      <c r="J54" s="237"/>
      <c r="K54" s="237"/>
      <c r="L54" s="237"/>
      <c r="M54" s="237"/>
      <c r="N54" s="237"/>
    </row>
    <row r="55" spans="9:14">
      <c r="I55" s="237"/>
      <c r="J55" s="237"/>
      <c r="K55" s="237"/>
      <c r="L55" s="237"/>
      <c r="M55" s="237"/>
      <c r="N55" s="237"/>
    </row>
    <row r="56" spans="9:14">
      <c r="I56" s="237"/>
      <c r="J56" s="237"/>
      <c r="K56" s="237"/>
      <c r="L56" s="237"/>
      <c r="M56" s="237"/>
      <c r="N56" s="237"/>
    </row>
    <row r="57" spans="9:14">
      <c r="I57" s="237"/>
      <c r="J57" s="237"/>
      <c r="K57" s="237"/>
      <c r="L57" s="237"/>
      <c r="M57" s="237"/>
      <c r="N57" s="237"/>
    </row>
    <row r="58" spans="9:14">
      <c r="I58" s="237"/>
      <c r="J58" s="237"/>
      <c r="K58" s="237"/>
      <c r="L58" s="237"/>
      <c r="M58" s="237"/>
      <c r="N58" s="237"/>
    </row>
    <row r="59" spans="9:14">
      <c r="I59" s="237"/>
      <c r="J59" s="237"/>
      <c r="K59" s="237"/>
      <c r="L59" s="237"/>
      <c r="M59" s="237"/>
      <c r="N59" s="237"/>
    </row>
    <row r="60" spans="9:14">
      <c r="I60" s="237"/>
      <c r="J60" s="237"/>
      <c r="K60" s="237"/>
      <c r="L60" s="237"/>
      <c r="M60" s="237"/>
      <c r="N60" s="237"/>
    </row>
    <row r="61" spans="9:14">
      <c r="I61" s="237"/>
      <c r="J61" s="237"/>
      <c r="K61" s="237"/>
      <c r="L61" s="237"/>
      <c r="M61" s="237"/>
      <c r="N61" s="237"/>
    </row>
    <row r="62" spans="9:14">
      <c r="I62" s="237"/>
      <c r="J62" s="237"/>
      <c r="K62" s="237"/>
      <c r="L62" s="237"/>
      <c r="M62" s="237"/>
      <c r="N62" s="237"/>
    </row>
    <row r="63" spans="9:14">
      <c r="I63" s="237"/>
      <c r="J63" s="237"/>
      <c r="K63" s="237"/>
      <c r="L63" s="237"/>
      <c r="M63" s="237"/>
      <c r="N63" s="237"/>
    </row>
    <row r="64" spans="9:14">
      <c r="I64" s="237"/>
      <c r="J64" s="237"/>
      <c r="K64" s="237"/>
      <c r="L64" s="237"/>
      <c r="M64" s="237"/>
      <c r="N64" s="237"/>
    </row>
  </sheetData>
  <sheetProtection password="EBAE" sheet="1"/>
  <mergeCells count="31">
    <mergeCell ref="B42:D42"/>
    <mergeCell ref="E33:G33"/>
    <mergeCell ref="B34:G34"/>
    <mergeCell ref="B36:D36"/>
    <mergeCell ref="B37:D37"/>
    <mergeCell ref="B38:D38"/>
    <mergeCell ref="B41:D41"/>
    <mergeCell ref="B26:B27"/>
    <mergeCell ref="C26:C27"/>
    <mergeCell ref="E26:E27"/>
    <mergeCell ref="B29:E29"/>
    <mergeCell ref="F29:G30"/>
    <mergeCell ref="B30:D30"/>
    <mergeCell ref="B25:E25"/>
    <mergeCell ref="B9:G9"/>
    <mergeCell ref="B11:C11"/>
    <mergeCell ref="D11:G11"/>
    <mergeCell ref="B13:D13"/>
    <mergeCell ref="C14:D14"/>
    <mergeCell ref="C15:D15"/>
    <mergeCell ref="C16:D16"/>
    <mergeCell ref="C17:D17"/>
    <mergeCell ref="C18:D18"/>
    <mergeCell ref="C19:D19"/>
    <mergeCell ref="F19:G23"/>
    <mergeCell ref="B7:G7"/>
    <mergeCell ref="B1:G1"/>
    <mergeCell ref="B3:G3"/>
    <mergeCell ref="B4:G4"/>
    <mergeCell ref="B5:G5"/>
    <mergeCell ref="B6:G6"/>
  </mergeCells>
  <dataValidations count="2">
    <dataValidation type="decimal" allowBlank="1" showInputMessage="1" showErrorMessage="1" error="O valor inserido está fora dos limites estabelecidos pelo acórdão 2622/2013 do TCU ou é inválido." sqref="E20:E23 JA20:JA23 SW20:SW23 ACS20:ACS23 AMO20:AMO23 AWK20:AWK23 BGG20:BGG23 BQC20:BQC23 BZY20:BZY23 CJU20:CJU23 CTQ20:CTQ23 DDM20:DDM23 DNI20:DNI23 DXE20:DXE23 EHA20:EHA23 EQW20:EQW23 FAS20:FAS23 FKO20:FKO23 FUK20:FUK23 GEG20:GEG23 GOC20:GOC23 GXY20:GXY23 HHU20:HHU23 HRQ20:HRQ23 IBM20:IBM23 ILI20:ILI23 IVE20:IVE23 JFA20:JFA23 JOW20:JOW23 JYS20:JYS23 KIO20:KIO23 KSK20:KSK23 LCG20:LCG23 LMC20:LMC23 LVY20:LVY23 MFU20:MFU23 MPQ20:MPQ23 MZM20:MZM23 NJI20:NJI23 NTE20:NTE23 ODA20:ODA23 OMW20:OMW23 OWS20:OWS23 PGO20:PGO23 PQK20:PQK23 QAG20:QAG23 QKC20:QKC23 QTY20:QTY23 RDU20:RDU23 RNQ20:RNQ23 RXM20:RXM23 SHI20:SHI23 SRE20:SRE23 TBA20:TBA23 TKW20:TKW23 TUS20:TUS23 UEO20:UEO23 UOK20:UOK23 UYG20:UYG23 VIC20:VIC23 VRY20:VRY23 WBU20:WBU23 WLQ20:WLQ23 WVM20:WVM23 E65556:E65559 JA65556:JA65559 SW65556:SW65559 ACS65556:ACS65559 AMO65556:AMO65559 AWK65556:AWK65559 BGG65556:BGG65559 BQC65556:BQC65559 BZY65556:BZY65559 CJU65556:CJU65559 CTQ65556:CTQ65559 DDM65556:DDM65559 DNI65556:DNI65559 DXE65556:DXE65559 EHA65556:EHA65559 EQW65556:EQW65559 FAS65556:FAS65559 FKO65556:FKO65559 FUK65556:FUK65559 GEG65556:GEG65559 GOC65556:GOC65559 GXY65556:GXY65559 HHU65556:HHU65559 HRQ65556:HRQ65559 IBM65556:IBM65559 ILI65556:ILI65559 IVE65556:IVE65559 JFA65556:JFA65559 JOW65556:JOW65559 JYS65556:JYS65559 KIO65556:KIO65559 KSK65556:KSK65559 LCG65556:LCG65559 LMC65556:LMC65559 LVY65556:LVY65559 MFU65556:MFU65559 MPQ65556:MPQ65559 MZM65556:MZM65559 NJI65556:NJI65559 NTE65556:NTE65559 ODA65556:ODA65559 OMW65556:OMW65559 OWS65556:OWS65559 PGO65556:PGO65559 PQK65556:PQK65559 QAG65556:QAG65559 QKC65556:QKC65559 QTY65556:QTY65559 RDU65556:RDU65559 RNQ65556:RNQ65559 RXM65556:RXM65559 SHI65556:SHI65559 SRE65556:SRE65559 TBA65556:TBA65559 TKW65556:TKW65559 TUS65556:TUS65559 UEO65556:UEO65559 UOK65556:UOK65559 UYG65556:UYG65559 VIC65556:VIC65559 VRY65556:VRY65559 WBU65556:WBU65559 WLQ65556:WLQ65559 WVM65556:WVM65559 E131092:E131095 JA131092:JA131095 SW131092:SW131095 ACS131092:ACS131095 AMO131092:AMO131095 AWK131092:AWK131095 BGG131092:BGG131095 BQC131092:BQC131095 BZY131092:BZY131095 CJU131092:CJU131095 CTQ131092:CTQ131095 DDM131092:DDM131095 DNI131092:DNI131095 DXE131092:DXE131095 EHA131092:EHA131095 EQW131092:EQW131095 FAS131092:FAS131095 FKO131092:FKO131095 FUK131092:FUK131095 GEG131092:GEG131095 GOC131092:GOC131095 GXY131092:GXY131095 HHU131092:HHU131095 HRQ131092:HRQ131095 IBM131092:IBM131095 ILI131092:ILI131095 IVE131092:IVE131095 JFA131092:JFA131095 JOW131092:JOW131095 JYS131092:JYS131095 KIO131092:KIO131095 KSK131092:KSK131095 LCG131092:LCG131095 LMC131092:LMC131095 LVY131092:LVY131095 MFU131092:MFU131095 MPQ131092:MPQ131095 MZM131092:MZM131095 NJI131092:NJI131095 NTE131092:NTE131095 ODA131092:ODA131095 OMW131092:OMW131095 OWS131092:OWS131095 PGO131092:PGO131095 PQK131092:PQK131095 QAG131092:QAG131095 QKC131092:QKC131095 QTY131092:QTY131095 RDU131092:RDU131095 RNQ131092:RNQ131095 RXM131092:RXM131095 SHI131092:SHI131095 SRE131092:SRE131095 TBA131092:TBA131095 TKW131092:TKW131095 TUS131092:TUS131095 UEO131092:UEO131095 UOK131092:UOK131095 UYG131092:UYG131095 VIC131092:VIC131095 VRY131092:VRY131095 WBU131092:WBU131095 WLQ131092:WLQ131095 WVM131092:WVM131095 E196628:E196631 JA196628:JA196631 SW196628:SW196631 ACS196628:ACS196631 AMO196628:AMO196631 AWK196628:AWK196631 BGG196628:BGG196631 BQC196628:BQC196631 BZY196628:BZY196631 CJU196628:CJU196631 CTQ196628:CTQ196631 DDM196628:DDM196631 DNI196628:DNI196631 DXE196628:DXE196631 EHA196628:EHA196631 EQW196628:EQW196631 FAS196628:FAS196631 FKO196628:FKO196631 FUK196628:FUK196631 GEG196628:GEG196631 GOC196628:GOC196631 GXY196628:GXY196631 HHU196628:HHU196631 HRQ196628:HRQ196631 IBM196628:IBM196631 ILI196628:ILI196631 IVE196628:IVE196631 JFA196628:JFA196631 JOW196628:JOW196631 JYS196628:JYS196631 KIO196628:KIO196631 KSK196628:KSK196631 LCG196628:LCG196631 LMC196628:LMC196631 LVY196628:LVY196631 MFU196628:MFU196631 MPQ196628:MPQ196631 MZM196628:MZM196631 NJI196628:NJI196631 NTE196628:NTE196631 ODA196628:ODA196631 OMW196628:OMW196631 OWS196628:OWS196631 PGO196628:PGO196631 PQK196628:PQK196631 QAG196628:QAG196631 QKC196628:QKC196631 QTY196628:QTY196631 RDU196628:RDU196631 RNQ196628:RNQ196631 RXM196628:RXM196631 SHI196628:SHI196631 SRE196628:SRE196631 TBA196628:TBA196631 TKW196628:TKW196631 TUS196628:TUS196631 UEO196628:UEO196631 UOK196628:UOK196631 UYG196628:UYG196631 VIC196628:VIC196631 VRY196628:VRY196631 WBU196628:WBU196631 WLQ196628:WLQ196631 WVM196628:WVM196631 E262164:E262167 JA262164:JA262167 SW262164:SW262167 ACS262164:ACS262167 AMO262164:AMO262167 AWK262164:AWK262167 BGG262164:BGG262167 BQC262164:BQC262167 BZY262164:BZY262167 CJU262164:CJU262167 CTQ262164:CTQ262167 DDM262164:DDM262167 DNI262164:DNI262167 DXE262164:DXE262167 EHA262164:EHA262167 EQW262164:EQW262167 FAS262164:FAS262167 FKO262164:FKO262167 FUK262164:FUK262167 GEG262164:GEG262167 GOC262164:GOC262167 GXY262164:GXY262167 HHU262164:HHU262167 HRQ262164:HRQ262167 IBM262164:IBM262167 ILI262164:ILI262167 IVE262164:IVE262167 JFA262164:JFA262167 JOW262164:JOW262167 JYS262164:JYS262167 KIO262164:KIO262167 KSK262164:KSK262167 LCG262164:LCG262167 LMC262164:LMC262167 LVY262164:LVY262167 MFU262164:MFU262167 MPQ262164:MPQ262167 MZM262164:MZM262167 NJI262164:NJI262167 NTE262164:NTE262167 ODA262164:ODA262167 OMW262164:OMW262167 OWS262164:OWS262167 PGO262164:PGO262167 PQK262164:PQK262167 QAG262164:QAG262167 QKC262164:QKC262167 QTY262164:QTY262167 RDU262164:RDU262167 RNQ262164:RNQ262167 RXM262164:RXM262167 SHI262164:SHI262167 SRE262164:SRE262167 TBA262164:TBA262167 TKW262164:TKW262167 TUS262164:TUS262167 UEO262164:UEO262167 UOK262164:UOK262167 UYG262164:UYG262167 VIC262164:VIC262167 VRY262164:VRY262167 WBU262164:WBU262167 WLQ262164:WLQ262167 WVM262164:WVM262167 E327700:E327703 JA327700:JA327703 SW327700:SW327703 ACS327700:ACS327703 AMO327700:AMO327703 AWK327700:AWK327703 BGG327700:BGG327703 BQC327700:BQC327703 BZY327700:BZY327703 CJU327700:CJU327703 CTQ327700:CTQ327703 DDM327700:DDM327703 DNI327700:DNI327703 DXE327700:DXE327703 EHA327700:EHA327703 EQW327700:EQW327703 FAS327700:FAS327703 FKO327700:FKO327703 FUK327700:FUK327703 GEG327700:GEG327703 GOC327700:GOC327703 GXY327700:GXY327703 HHU327700:HHU327703 HRQ327700:HRQ327703 IBM327700:IBM327703 ILI327700:ILI327703 IVE327700:IVE327703 JFA327700:JFA327703 JOW327700:JOW327703 JYS327700:JYS327703 KIO327700:KIO327703 KSK327700:KSK327703 LCG327700:LCG327703 LMC327700:LMC327703 LVY327700:LVY327703 MFU327700:MFU327703 MPQ327700:MPQ327703 MZM327700:MZM327703 NJI327700:NJI327703 NTE327700:NTE327703 ODA327700:ODA327703 OMW327700:OMW327703 OWS327700:OWS327703 PGO327700:PGO327703 PQK327700:PQK327703 QAG327700:QAG327703 QKC327700:QKC327703 QTY327700:QTY327703 RDU327700:RDU327703 RNQ327700:RNQ327703 RXM327700:RXM327703 SHI327700:SHI327703 SRE327700:SRE327703 TBA327700:TBA327703 TKW327700:TKW327703 TUS327700:TUS327703 UEO327700:UEO327703 UOK327700:UOK327703 UYG327700:UYG327703 VIC327700:VIC327703 VRY327700:VRY327703 WBU327700:WBU327703 WLQ327700:WLQ327703 WVM327700:WVM327703 E393236:E393239 JA393236:JA393239 SW393236:SW393239 ACS393236:ACS393239 AMO393236:AMO393239 AWK393236:AWK393239 BGG393236:BGG393239 BQC393236:BQC393239 BZY393236:BZY393239 CJU393236:CJU393239 CTQ393236:CTQ393239 DDM393236:DDM393239 DNI393236:DNI393239 DXE393236:DXE393239 EHA393236:EHA393239 EQW393236:EQW393239 FAS393236:FAS393239 FKO393236:FKO393239 FUK393236:FUK393239 GEG393236:GEG393239 GOC393236:GOC393239 GXY393236:GXY393239 HHU393236:HHU393239 HRQ393236:HRQ393239 IBM393236:IBM393239 ILI393236:ILI393239 IVE393236:IVE393239 JFA393236:JFA393239 JOW393236:JOW393239 JYS393236:JYS393239 KIO393236:KIO393239 KSK393236:KSK393239 LCG393236:LCG393239 LMC393236:LMC393239 LVY393236:LVY393239 MFU393236:MFU393239 MPQ393236:MPQ393239 MZM393236:MZM393239 NJI393236:NJI393239 NTE393236:NTE393239 ODA393236:ODA393239 OMW393236:OMW393239 OWS393236:OWS393239 PGO393236:PGO393239 PQK393236:PQK393239 QAG393236:QAG393239 QKC393236:QKC393239 QTY393236:QTY393239 RDU393236:RDU393239 RNQ393236:RNQ393239 RXM393236:RXM393239 SHI393236:SHI393239 SRE393236:SRE393239 TBA393236:TBA393239 TKW393236:TKW393239 TUS393236:TUS393239 UEO393236:UEO393239 UOK393236:UOK393239 UYG393236:UYG393239 VIC393236:VIC393239 VRY393236:VRY393239 WBU393236:WBU393239 WLQ393236:WLQ393239 WVM393236:WVM393239 E458772:E458775 JA458772:JA458775 SW458772:SW458775 ACS458772:ACS458775 AMO458772:AMO458775 AWK458772:AWK458775 BGG458772:BGG458775 BQC458772:BQC458775 BZY458772:BZY458775 CJU458772:CJU458775 CTQ458772:CTQ458775 DDM458772:DDM458775 DNI458772:DNI458775 DXE458772:DXE458775 EHA458772:EHA458775 EQW458772:EQW458775 FAS458772:FAS458775 FKO458772:FKO458775 FUK458772:FUK458775 GEG458772:GEG458775 GOC458772:GOC458775 GXY458772:GXY458775 HHU458772:HHU458775 HRQ458772:HRQ458775 IBM458772:IBM458775 ILI458772:ILI458775 IVE458772:IVE458775 JFA458772:JFA458775 JOW458772:JOW458775 JYS458772:JYS458775 KIO458772:KIO458775 KSK458772:KSK458775 LCG458772:LCG458775 LMC458772:LMC458775 LVY458772:LVY458775 MFU458772:MFU458775 MPQ458772:MPQ458775 MZM458772:MZM458775 NJI458772:NJI458775 NTE458772:NTE458775 ODA458772:ODA458775 OMW458772:OMW458775 OWS458772:OWS458775 PGO458772:PGO458775 PQK458772:PQK458775 QAG458772:QAG458775 QKC458772:QKC458775 QTY458772:QTY458775 RDU458772:RDU458775 RNQ458772:RNQ458775 RXM458772:RXM458775 SHI458772:SHI458775 SRE458772:SRE458775 TBA458772:TBA458775 TKW458772:TKW458775 TUS458772:TUS458775 UEO458772:UEO458775 UOK458772:UOK458775 UYG458772:UYG458775 VIC458772:VIC458775 VRY458772:VRY458775 WBU458772:WBU458775 WLQ458772:WLQ458775 WVM458772:WVM458775 E524308:E524311 JA524308:JA524311 SW524308:SW524311 ACS524308:ACS524311 AMO524308:AMO524311 AWK524308:AWK524311 BGG524308:BGG524311 BQC524308:BQC524311 BZY524308:BZY524311 CJU524308:CJU524311 CTQ524308:CTQ524311 DDM524308:DDM524311 DNI524308:DNI524311 DXE524308:DXE524311 EHA524308:EHA524311 EQW524308:EQW524311 FAS524308:FAS524311 FKO524308:FKO524311 FUK524308:FUK524311 GEG524308:GEG524311 GOC524308:GOC524311 GXY524308:GXY524311 HHU524308:HHU524311 HRQ524308:HRQ524311 IBM524308:IBM524311 ILI524308:ILI524311 IVE524308:IVE524311 JFA524308:JFA524311 JOW524308:JOW524311 JYS524308:JYS524311 KIO524308:KIO524311 KSK524308:KSK524311 LCG524308:LCG524311 LMC524308:LMC524311 LVY524308:LVY524311 MFU524308:MFU524311 MPQ524308:MPQ524311 MZM524308:MZM524311 NJI524308:NJI524311 NTE524308:NTE524311 ODA524308:ODA524311 OMW524308:OMW524311 OWS524308:OWS524311 PGO524308:PGO524311 PQK524308:PQK524311 QAG524308:QAG524311 QKC524308:QKC524311 QTY524308:QTY524311 RDU524308:RDU524311 RNQ524308:RNQ524311 RXM524308:RXM524311 SHI524308:SHI524311 SRE524308:SRE524311 TBA524308:TBA524311 TKW524308:TKW524311 TUS524308:TUS524311 UEO524308:UEO524311 UOK524308:UOK524311 UYG524308:UYG524311 VIC524308:VIC524311 VRY524308:VRY524311 WBU524308:WBU524311 WLQ524308:WLQ524311 WVM524308:WVM524311 E589844:E589847 JA589844:JA589847 SW589844:SW589847 ACS589844:ACS589847 AMO589844:AMO589847 AWK589844:AWK589847 BGG589844:BGG589847 BQC589844:BQC589847 BZY589844:BZY589847 CJU589844:CJU589847 CTQ589844:CTQ589847 DDM589844:DDM589847 DNI589844:DNI589847 DXE589844:DXE589847 EHA589844:EHA589847 EQW589844:EQW589847 FAS589844:FAS589847 FKO589844:FKO589847 FUK589844:FUK589847 GEG589844:GEG589847 GOC589844:GOC589847 GXY589844:GXY589847 HHU589844:HHU589847 HRQ589844:HRQ589847 IBM589844:IBM589847 ILI589844:ILI589847 IVE589844:IVE589847 JFA589844:JFA589847 JOW589844:JOW589847 JYS589844:JYS589847 KIO589844:KIO589847 KSK589844:KSK589847 LCG589844:LCG589847 LMC589844:LMC589847 LVY589844:LVY589847 MFU589844:MFU589847 MPQ589844:MPQ589847 MZM589844:MZM589847 NJI589844:NJI589847 NTE589844:NTE589847 ODA589844:ODA589847 OMW589844:OMW589847 OWS589844:OWS589847 PGO589844:PGO589847 PQK589844:PQK589847 QAG589844:QAG589847 QKC589844:QKC589847 QTY589844:QTY589847 RDU589844:RDU589847 RNQ589844:RNQ589847 RXM589844:RXM589847 SHI589844:SHI589847 SRE589844:SRE589847 TBA589844:TBA589847 TKW589844:TKW589847 TUS589844:TUS589847 UEO589844:UEO589847 UOK589844:UOK589847 UYG589844:UYG589847 VIC589844:VIC589847 VRY589844:VRY589847 WBU589844:WBU589847 WLQ589844:WLQ589847 WVM589844:WVM589847 E655380:E655383 JA655380:JA655383 SW655380:SW655383 ACS655380:ACS655383 AMO655380:AMO655383 AWK655380:AWK655383 BGG655380:BGG655383 BQC655380:BQC655383 BZY655380:BZY655383 CJU655380:CJU655383 CTQ655380:CTQ655383 DDM655380:DDM655383 DNI655380:DNI655383 DXE655380:DXE655383 EHA655380:EHA655383 EQW655380:EQW655383 FAS655380:FAS655383 FKO655380:FKO655383 FUK655380:FUK655383 GEG655380:GEG655383 GOC655380:GOC655383 GXY655380:GXY655383 HHU655380:HHU655383 HRQ655380:HRQ655383 IBM655380:IBM655383 ILI655380:ILI655383 IVE655380:IVE655383 JFA655380:JFA655383 JOW655380:JOW655383 JYS655380:JYS655383 KIO655380:KIO655383 KSK655380:KSK655383 LCG655380:LCG655383 LMC655380:LMC655383 LVY655380:LVY655383 MFU655380:MFU655383 MPQ655380:MPQ655383 MZM655380:MZM655383 NJI655380:NJI655383 NTE655380:NTE655383 ODA655380:ODA655383 OMW655380:OMW655383 OWS655380:OWS655383 PGO655380:PGO655383 PQK655380:PQK655383 QAG655380:QAG655383 QKC655380:QKC655383 QTY655380:QTY655383 RDU655380:RDU655383 RNQ655380:RNQ655383 RXM655380:RXM655383 SHI655380:SHI655383 SRE655380:SRE655383 TBA655380:TBA655383 TKW655380:TKW655383 TUS655380:TUS655383 UEO655380:UEO655383 UOK655380:UOK655383 UYG655380:UYG655383 VIC655380:VIC655383 VRY655380:VRY655383 WBU655380:WBU655383 WLQ655380:WLQ655383 WVM655380:WVM655383 E720916:E720919 JA720916:JA720919 SW720916:SW720919 ACS720916:ACS720919 AMO720916:AMO720919 AWK720916:AWK720919 BGG720916:BGG720919 BQC720916:BQC720919 BZY720916:BZY720919 CJU720916:CJU720919 CTQ720916:CTQ720919 DDM720916:DDM720919 DNI720916:DNI720919 DXE720916:DXE720919 EHA720916:EHA720919 EQW720916:EQW720919 FAS720916:FAS720919 FKO720916:FKO720919 FUK720916:FUK720919 GEG720916:GEG720919 GOC720916:GOC720919 GXY720916:GXY720919 HHU720916:HHU720919 HRQ720916:HRQ720919 IBM720916:IBM720919 ILI720916:ILI720919 IVE720916:IVE720919 JFA720916:JFA720919 JOW720916:JOW720919 JYS720916:JYS720919 KIO720916:KIO720919 KSK720916:KSK720919 LCG720916:LCG720919 LMC720916:LMC720919 LVY720916:LVY720919 MFU720916:MFU720919 MPQ720916:MPQ720919 MZM720916:MZM720919 NJI720916:NJI720919 NTE720916:NTE720919 ODA720916:ODA720919 OMW720916:OMW720919 OWS720916:OWS720919 PGO720916:PGO720919 PQK720916:PQK720919 QAG720916:QAG720919 QKC720916:QKC720919 QTY720916:QTY720919 RDU720916:RDU720919 RNQ720916:RNQ720919 RXM720916:RXM720919 SHI720916:SHI720919 SRE720916:SRE720919 TBA720916:TBA720919 TKW720916:TKW720919 TUS720916:TUS720919 UEO720916:UEO720919 UOK720916:UOK720919 UYG720916:UYG720919 VIC720916:VIC720919 VRY720916:VRY720919 WBU720916:WBU720919 WLQ720916:WLQ720919 WVM720916:WVM720919 E786452:E786455 JA786452:JA786455 SW786452:SW786455 ACS786452:ACS786455 AMO786452:AMO786455 AWK786452:AWK786455 BGG786452:BGG786455 BQC786452:BQC786455 BZY786452:BZY786455 CJU786452:CJU786455 CTQ786452:CTQ786455 DDM786452:DDM786455 DNI786452:DNI786455 DXE786452:DXE786455 EHA786452:EHA786455 EQW786452:EQW786455 FAS786452:FAS786455 FKO786452:FKO786455 FUK786452:FUK786455 GEG786452:GEG786455 GOC786452:GOC786455 GXY786452:GXY786455 HHU786452:HHU786455 HRQ786452:HRQ786455 IBM786452:IBM786455 ILI786452:ILI786455 IVE786452:IVE786455 JFA786452:JFA786455 JOW786452:JOW786455 JYS786452:JYS786455 KIO786452:KIO786455 KSK786452:KSK786455 LCG786452:LCG786455 LMC786452:LMC786455 LVY786452:LVY786455 MFU786452:MFU786455 MPQ786452:MPQ786455 MZM786452:MZM786455 NJI786452:NJI786455 NTE786452:NTE786455 ODA786452:ODA786455 OMW786452:OMW786455 OWS786452:OWS786455 PGO786452:PGO786455 PQK786452:PQK786455 QAG786452:QAG786455 QKC786452:QKC786455 QTY786452:QTY786455 RDU786452:RDU786455 RNQ786452:RNQ786455 RXM786452:RXM786455 SHI786452:SHI786455 SRE786452:SRE786455 TBA786452:TBA786455 TKW786452:TKW786455 TUS786452:TUS786455 UEO786452:UEO786455 UOK786452:UOK786455 UYG786452:UYG786455 VIC786452:VIC786455 VRY786452:VRY786455 WBU786452:WBU786455 WLQ786452:WLQ786455 WVM786452:WVM786455 E851988:E851991 JA851988:JA851991 SW851988:SW851991 ACS851988:ACS851991 AMO851988:AMO851991 AWK851988:AWK851991 BGG851988:BGG851991 BQC851988:BQC851991 BZY851988:BZY851991 CJU851988:CJU851991 CTQ851988:CTQ851991 DDM851988:DDM851991 DNI851988:DNI851991 DXE851988:DXE851991 EHA851988:EHA851991 EQW851988:EQW851991 FAS851988:FAS851991 FKO851988:FKO851991 FUK851988:FUK851991 GEG851988:GEG851991 GOC851988:GOC851991 GXY851988:GXY851991 HHU851988:HHU851991 HRQ851988:HRQ851991 IBM851988:IBM851991 ILI851988:ILI851991 IVE851988:IVE851991 JFA851988:JFA851991 JOW851988:JOW851991 JYS851988:JYS851991 KIO851988:KIO851991 KSK851988:KSK851991 LCG851988:LCG851991 LMC851988:LMC851991 LVY851988:LVY851991 MFU851988:MFU851991 MPQ851988:MPQ851991 MZM851988:MZM851991 NJI851988:NJI851991 NTE851988:NTE851991 ODA851988:ODA851991 OMW851988:OMW851991 OWS851988:OWS851991 PGO851988:PGO851991 PQK851988:PQK851991 QAG851988:QAG851991 QKC851988:QKC851991 QTY851988:QTY851991 RDU851988:RDU851991 RNQ851988:RNQ851991 RXM851988:RXM851991 SHI851988:SHI851991 SRE851988:SRE851991 TBA851988:TBA851991 TKW851988:TKW851991 TUS851988:TUS851991 UEO851988:UEO851991 UOK851988:UOK851991 UYG851988:UYG851991 VIC851988:VIC851991 VRY851988:VRY851991 WBU851988:WBU851991 WLQ851988:WLQ851991 WVM851988:WVM851991 E917524:E917527 JA917524:JA917527 SW917524:SW917527 ACS917524:ACS917527 AMO917524:AMO917527 AWK917524:AWK917527 BGG917524:BGG917527 BQC917524:BQC917527 BZY917524:BZY917527 CJU917524:CJU917527 CTQ917524:CTQ917527 DDM917524:DDM917527 DNI917524:DNI917527 DXE917524:DXE917527 EHA917524:EHA917527 EQW917524:EQW917527 FAS917524:FAS917527 FKO917524:FKO917527 FUK917524:FUK917527 GEG917524:GEG917527 GOC917524:GOC917527 GXY917524:GXY917527 HHU917524:HHU917527 HRQ917524:HRQ917527 IBM917524:IBM917527 ILI917524:ILI917527 IVE917524:IVE917527 JFA917524:JFA917527 JOW917524:JOW917527 JYS917524:JYS917527 KIO917524:KIO917527 KSK917524:KSK917527 LCG917524:LCG917527 LMC917524:LMC917527 LVY917524:LVY917527 MFU917524:MFU917527 MPQ917524:MPQ917527 MZM917524:MZM917527 NJI917524:NJI917527 NTE917524:NTE917527 ODA917524:ODA917527 OMW917524:OMW917527 OWS917524:OWS917527 PGO917524:PGO917527 PQK917524:PQK917527 QAG917524:QAG917527 QKC917524:QKC917527 QTY917524:QTY917527 RDU917524:RDU917527 RNQ917524:RNQ917527 RXM917524:RXM917527 SHI917524:SHI917527 SRE917524:SRE917527 TBA917524:TBA917527 TKW917524:TKW917527 TUS917524:TUS917527 UEO917524:UEO917527 UOK917524:UOK917527 UYG917524:UYG917527 VIC917524:VIC917527 VRY917524:VRY917527 WBU917524:WBU917527 WLQ917524:WLQ917527 WVM917524:WVM917527 E983060:E983063 JA983060:JA983063 SW983060:SW983063 ACS983060:ACS983063 AMO983060:AMO983063 AWK983060:AWK983063 BGG983060:BGG983063 BQC983060:BQC983063 BZY983060:BZY983063 CJU983060:CJU983063 CTQ983060:CTQ983063 DDM983060:DDM983063 DNI983060:DNI983063 DXE983060:DXE983063 EHA983060:EHA983063 EQW983060:EQW983063 FAS983060:FAS983063 FKO983060:FKO983063 FUK983060:FUK983063 GEG983060:GEG983063 GOC983060:GOC983063 GXY983060:GXY983063 HHU983060:HHU983063 HRQ983060:HRQ983063 IBM983060:IBM983063 ILI983060:ILI983063 IVE983060:IVE983063 JFA983060:JFA983063 JOW983060:JOW983063 JYS983060:JYS983063 KIO983060:KIO983063 KSK983060:KSK983063 LCG983060:LCG983063 LMC983060:LMC983063 LVY983060:LVY983063 MFU983060:MFU983063 MPQ983060:MPQ983063 MZM983060:MZM983063 NJI983060:NJI983063 NTE983060:NTE983063 ODA983060:ODA983063 OMW983060:OMW983063 OWS983060:OWS983063 PGO983060:PGO983063 PQK983060:PQK983063 QAG983060:QAG983063 QKC983060:QKC983063 QTY983060:QTY983063 RDU983060:RDU983063 RNQ983060:RNQ983063 RXM983060:RXM983063 SHI983060:SHI983063 SRE983060:SRE983063 TBA983060:TBA983063 TKW983060:TKW983063 TUS983060:TUS983063 UEO983060:UEO983063 UOK983060:UOK983063 UYG983060:UYG983063 VIC983060:VIC983063 VRY983060:VRY983063 WBU983060:WBU983063 WLQ983060:WLQ983063 WVM983060:WVM983063">
      <formula1>F20</formula1>
      <formula2>G20</formula2>
    </dataValidation>
    <dataValidation allowBlank="1" showInputMessage="1" showErrorMessage="1" error="O valor inserido está fora dos limites estabelecidos pelo acórdão 2622/2013 do TCU ou é inválido." sqref="E14:E19 JA14:JA19 SW14:SW19 ACS14:ACS19 AMO14:AMO19 AWK14:AWK19 BGG14:BGG19 BQC14:BQC19 BZY14:BZY19 CJU14:CJU19 CTQ14:CTQ19 DDM14:DDM19 DNI14:DNI19 DXE14:DXE19 EHA14:EHA19 EQW14:EQW19 FAS14:FAS19 FKO14:FKO19 FUK14:FUK19 GEG14:GEG19 GOC14:GOC19 GXY14:GXY19 HHU14:HHU19 HRQ14:HRQ19 IBM14:IBM19 ILI14:ILI19 IVE14:IVE19 JFA14:JFA19 JOW14:JOW19 JYS14:JYS19 KIO14:KIO19 KSK14:KSK19 LCG14:LCG19 LMC14:LMC19 LVY14:LVY19 MFU14:MFU19 MPQ14:MPQ19 MZM14:MZM19 NJI14:NJI19 NTE14:NTE19 ODA14:ODA19 OMW14:OMW19 OWS14:OWS19 PGO14:PGO19 PQK14:PQK19 QAG14:QAG19 QKC14:QKC19 QTY14:QTY19 RDU14:RDU19 RNQ14:RNQ19 RXM14:RXM19 SHI14:SHI19 SRE14:SRE19 TBA14:TBA19 TKW14:TKW19 TUS14:TUS19 UEO14:UEO19 UOK14:UOK19 UYG14:UYG19 VIC14:VIC19 VRY14:VRY19 WBU14:WBU19 WLQ14:WLQ19 WVM14:WVM19 E65550:E65555 JA65550:JA65555 SW65550:SW65555 ACS65550:ACS65555 AMO65550:AMO65555 AWK65550:AWK65555 BGG65550:BGG65555 BQC65550:BQC65555 BZY65550:BZY65555 CJU65550:CJU65555 CTQ65550:CTQ65555 DDM65550:DDM65555 DNI65550:DNI65555 DXE65550:DXE65555 EHA65550:EHA65555 EQW65550:EQW65555 FAS65550:FAS65555 FKO65550:FKO65555 FUK65550:FUK65555 GEG65550:GEG65555 GOC65550:GOC65555 GXY65550:GXY65555 HHU65550:HHU65555 HRQ65550:HRQ65555 IBM65550:IBM65555 ILI65550:ILI65555 IVE65550:IVE65555 JFA65550:JFA65555 JOW65550:JOW65555 JYS65550:JYS65555 KIO65550:KIO65555 KSK65550:KSK65555 LCG65550:LCG65555 LMC65550:LMC65555 LVY65550:LVY65555 MFU65550:MFU65555 MPQ65550:MPQ65555 MZM65550:MZM65555 NJI65550:NJI65555 NTE65550:NTE65555 ODA65550:ODA65555 OMW65550:OMW65555 OWS65550:OWS65555 PGO65550:PGO65555 PQK65550:PQK65555 QAG65550:QAG65555 QKC65550:QKC65555 QTY65550:QTY65555 RDU65550:RDU65555 RNQ65550:RNQ65555 RXM65550:RXM65555 SHI65550:SHI65555 SRE65550:SRE65555 TBA65550:TBA65555 TKW65550:TKW65555 TUS65550:TUS65555 UEO65550:UEO65555 UOK65550:UOK65555 UYG65550:UYG65555 VIC65550:VIC65555 VRY65550:VRY65555 WBU65550:WBU65555 WLQ65550:WLQ65555 WVM65550:WVM65555 E131086:E131091 JA131086:JA131091 SW131086:SW131091 ACS131086:ACS131091 AMO131086:AMO131091 AWK131086:AWK131091 BGG131086:BGG131091 BQC131086:BQC131091 BZY131086:BZY131091 CJU131086:CJU131091 CTQ131086:CTQ131091 DDM131086:DDM131091 DNI131086:DNI131091 DXE131086:DXE131091 EHA131086:EHA131091 EQW131086:EQW131091 FAS131086:FAS131091 FKO131086:FKO131091 FUK131086:FUK131091 GEG131086:GEG131091 GOC131086:GOC131091 GXY131086:GXY131091 HHU131086:HHU131091 HRQ131086:HRQ131091 IBM131086:IBM131091 ILI131086:ILI131091 IVE131086:IVE131091 JFA131086:JFA131091 JOW131086:JOW131091 JYS131086:JYS131091 KIO131086:KIO131091 KSK131086:KSK131091 LCG131086:LCG131091 LMC131086:LMC131091 LVY131086:LVY131091 MFU131086:MFU131091 MPQ131086:MPQ131091 MZM131086:MZM131091 NJI131086:NJI131091 NTE131086:NTE131091 ODA131086:ODA131091 OMW131086:OMW131091 OWS131086:OWS131091 PGO131086:PGO131091 PQK131086:PQK131091 QAG131086:QAG131091 QKC131086:QKC131091 QTY131086:QTY131091 RDU131086:RDU131091 RNQ131086:RNQ131091 RXM131086:RXM131091 SHI131086:SHI131091 SRE131086:SRE131091 TBA131086:TBA131091 TKW131086:TKW131091 TUS131086:TUS131091 UEO131086:UEO131091 UOK131086:UOK131091 UYG131086:UYG131091 VIC131086:VIC131091 VRY131086:VRY131091 WBU131086:WBU131091 WLQ131086:WLQ131091 WVM131086:WVM131091 E196622:E196627 JA196622:JA196627 SW196622:SW196627 ACS196622:ACS196627 AMO196622:AMO196627 AWK196622:AWK196627 BGG196622:BGG196627 BQC196622:BQC196627 BZY196622:BZY196627 CJU196622:CJU196627 CTQ196622:CTQ196627 DDM196622:DDM196627 DNI196622:DNI196627 DXE196622:DXE196627 EHA196622:EHA196627 EQW196622:EQW196627 FAS196622:FAS196627 FKO196622:FKO196627 FUK196622:FUK196627 GEG196622:GEG196627 GOC196622:GOC196627 GXY196622:GXY196627 HHU196622:HHU196627 HRQ196622:HRQ196627 IBM196622:IBM196627 ILI196622:ILI196627 IVE196622:IVE196627 JFA196622:JFA196627 JOW196622:JOW196627 JYS196622:JYS196627 KIO196622:KIO196627 KSK196622:KSK196627 LCG196622:LCG196627 LMC196622:LMC196627 LVY196622:LVY196627 MFU196622:MFU196627 MPQ196622:MPQ196627 MZM196622:MZM196627 NJI196622:NJI196627 NTE196622:NTE196627 ODA196622:ODA196627 OMW196622:OMW196627 OWS196622:OWS196627 PGO196622:PGO196627 PQK196622:PQK196627 QAG196622:QAG196627 QKC196622:QKC196627 QTY196622:QTY196627 RDU196622:RDU196627 RNQ196622:RNQ196627 RXM196622:RXM196627 SHI196622:SHI196627 SRE196622:SRE196627 TBA196622:TBA196627 TKW196622:TKW196627 TUS196622:TUS196627 UEO196622:UEO196627 UOK196622:UOK196627 UYG196622:UYG196627 VIC196622:VIC196627 VRY196622:VRY196627 WBU196622:WBU196627 WLQ196622:WLQ196627 WVM196622:WVM196627 E262158:E262163 JA262158:JA262163 SW262158:SW262163 ACS262158:ACS262163 AMO262158:AMO262163 AWK262158:AWK262163 BGG262158:BGG262163 BQC262158:BQC262163 BZY262158:BZY262163 CJU262158:CJU262163 CTQ262158:CTQ262163 DDM262158:DDM262163 DNI262158:DNI262163 DXE262158:DXE262163 EHA262158:EHA262163 EQW262158:EQW262163 FAS262158:FAS262163 FKO262158:FKO262163 FUK262158:FUK262163 GEG262158:GEG262163 GOC262158:GOC262163 GXY262158:GXY262163 HHU262158:HHU262163 HRQ262158:HRQ262163 IBM262158:IBM262163 ILI262158:ILI262163 IVE262158:IVE262163 JFA262158:JFA262163 JOW262158:JOW262163 JYS262158:JYS262163 KIO262158:KIO262163 KSK262158:KSK262163 LCG262158:LCG262163 LMC262158:LMC262163 LVY262158:LVY262163 MFU262158:MFU262163 MPQ262158:MPQ262163 MZM262158:MZM262163 NJI262158:NJI262163 NTE262158:NTE262163 ODA262158:ODA262163 OMW262158:OMW262163 OWS262158:OWS262163 PGO262158:PGO262163 PQK262158:PQK262163 QAG262158:QAG262163 QKC262158:QKC262163 QTY262158:QTY262163 RDU262158:RDU262163 RNQ262158:RNQ262163 RXM262158:RXM262163 SHI262158:SHI262163 SRE262158:SRE262163 TBA262158:TBA262163 TKW262158:TKW262163 TUS262158:TUS262163 UEO262158:UEO262163 UOK262158:UOK262163 UYG262158:UYG262163 VIC262158:VIC262163 VRY262158:VRY262163 WBU262158:WBU262163 WLQ262158:WLQ262163 WVM262158:WVM262163 E327694:E327699 JA327694:JA327699 SW327694:SW327699 ACS327694:ACS327699 AMO327694:AMO327699 AWK327694:AWK327699 BGG327694:BGG327699 BQC327694:BQC327699 BZY327694:BZY327699 CJU327694:CJU327699 CTQ327694:CTQ327699 DDM327694:DDM327699 DNI327694:DNI327699 DXE327694:DXE327699 EHA327694:EHA327699 EQW327694:EQW327699 FAS327694:FAS327699 FKO327694:FKO327699 FUK327694:FUK327699 GEG327694:GEG327699 GOC327694:GOC327699 GXY327694:GXY327699 HHU327694:HHU327699 HRQ327694:HRQ327699 IBM327694:IBM327699 ILI327694:ILI327699 IVE327694:IVE327699 JFA327694:JFA327699 JOW327694:JOW327699 JYS327694:JYS327699 KIO327694:KIO327699 KSK327694:KSK327699 LCG327694:LCG327699 LMC327694:LMC327699 LVY327694:LVY327699 MFU327694:MFU327699 MPQ327694:MPQ327699 MZM327694:MZM327699 NJI327694:NJI327699 NTE327694:NTE327699 ODA327694:ODA327699 OMW327694:OMW327699 OWS327694:OWS327699 PGO327694:PGO327699 PQK327694:PQK327699 QAG327694:QAG327699 QKC327694:QKC327699 QTY327694:QTY327699 RDU327694:RDU327699 RNQ327694:RNQ327699 RXM327694:RXM327699 SHI327694:SHI327699 SRE327694:SRE327699 TBA327694:TBA327699 TKW327694:TKW327699 TUS327694:TUS327699 UEO327694:UEO327699 UOK327694:UOK327699 UYG327694:UYG327699 VIC327694:VIC327699 VRY327694:VRY327699 WBU327694:WBU327699 WLQ327694:WLQ327699 WVM327694:WVM327699 E393230:E393235 JA393230:JA393235 SW393230:SW393235 ACS393230:ACS393235 AMO393230:AMO393235 AWK393230:AWK393235 BGG393230:BGG393235 BQC393230:BQC393235 BZY393230:BZY393235 CJU393230:CJU393235 CTQ393230:CTQ393235 DDM393230:DDM393235 DNI393230:DNI393235 DXE393230:DXE393235 EHA393230:EHA393235 EQW393230:EQW393235 FAS393230:FAS393235 FKO393230:FKO393235 FUK393230:FUK393235 GEG393230:GEG393235 GOC393230:GOC393235 GXY393230:GXY393235 HHU393230:HHU393235 HRQ393230:HRQ393235 IBM393230:IBM393235 ILI393230:ILI393235 IVE393230:IVE393235 JFA393230:JFA393235 JOW393230:JOW393235 JYS393230:JYS393235 KIO393230:KIO393235 KSK393230:KSK393235 LCG393230:LCG393235 LMC393230:LMC393235 LVY393230:LVY393235 MFU393230:MFU393235 MPQ393230:MPQ393235 MZM393230:MZM393235 NJI393230:NJI393235 NTE393230:NTE393235 ODA393230:ODA393235 OMW393230:OMW393235 OWS393230:OWS393235 PGO393230:PGO393235 PQK393230:PQK393235 QAG393230:QAG393235 QKC393230:QKC393235 QTY393230:QTY393235 RDU393230:RDU393235 RNQ393230:RNQ393235 RXM393230:RXM393235 SHI393230:SHI393235 SRE393230:SRE393235 TBA393230:TBA393235 TKW393230:TKW393235 TUS393230:TUS393235 UEO393230:UEO393235 UOK393230:UOK393235 UYG393230:UYG393235 VIC393230:VIC393235 VRY393230:VRY393235 WBU393230:WBU393235 WLQ393230:WLQ393235 WVM393230:WVM393235 E458766:E458771 JA458766:JA458771 SW458766:SW458771 ACS458766:ACS458771 AMO458766:AMO458771 AWK458766:AWK458771 BGG458766:BGG458771 BQC458766:BQC458771 BZY458766:BZY458771 CJU458766:CJU458771 CTQ458766:CTQ458771 DDM458766:DDM458771 DNI458766:DNI458771 DXE458766:DXE458771 EHA458766:EHA458771 EQW458766:EQW458771 FAS458766:FAS458771 FKO458766:FKO458771 FUK458766:FUK458771 GEG458766:GEG458771 GOC458766:GOC458771 GXY458766:GXY458771 HHU458766:HHU458771 HRQ458766:HRQ458771 IBM458766:IBM458771 ILI458766:ILI458771 IVE458766:IVE458771 JFA458766:JFA458771 JOW458766:JOW458771 JYS458766:JYS458771 KIO458766:KIO458771 KSK458766:KSK458771 LCG458766:LCG458771 LMC458766:LMC458771 LVY458766:LVY458771 MFU458766:MFU458771 MPQ458766:MPQ458771 MZM458766:MZM458771 NJI458766:NJI458771 NTE458766:NTE458771 ODA458766:ODA458771 OMW458766:OMW458771 OWS458766:OWS458771 PGO458766:PGO458771 PQK458766:PQK458771 QAG458766:QAG458771 QKC458766:QKC458771 QTY458766:QTY458771 RDU458766:RDU458771 RNQ458766:RNQ458771 RXM458766:RXM458771 SHI458766:SHI458771 SRE458766:SRE458771 TBA458766:TBA458771 TKW458766:TKW458771 TUS458766:TUS458771 UEO458766:UEO458771 UOK458766:UOK458771 UYG458766:UYG458771 VIC458766:VIC458771 VRY458766:VRY458771 WBU458766:WBU458771 WLQ458766:WLQ458771 WVM458766:WVM458771 E524302:E524307 JA524302:JA524307 SW524302:SW524307 ACS524302:ACS524307 AMO524302:AMO524307 AWK524302:AWK524307 BGG524302:BGG524307 BQC524302:BQC524307 BZY524302:BZY524307 CJU524302:CJU524307 CTQ524302:CTQ524307 DDM524302:DDM524307 DNI524302:DNI524307 DXE524302:DXE524307 EHA524302:EHA524307 EQW524302:EQW524307 FAS524302:FAS524307 FKO524302:FKO524307 FUK524302:FUK524307 GEG524302:GEG524307 GOC524302:GOC524307 GXY524302:GXY524307 HHU524302:HHU524307 HRQ524302:HRQ524307 IBM524302:IBM524307 ILI524302:ILI524307 IVE524302:IVE524307 JFA524302:JFA524307 JOW524302:JOW524307 JYS524302:JYS524307 KIO524302:KIO524307 KSK524302:KSK524307 LCG524302:LCG524307 LMC524302:LMC524307 LVY524302:LVY524307 MFU524302:MFU524307 MPQ524302:MPQ524307 MZM524302:MZM524307 NJI524302:NJI524307 NTE524302:NTE524307 ODA524302:ODA524307 OMW524302:OMW524307 OWS524302:OWS524307 PGO524302:PGO524307 PQK524302:PQK524307 QAG524302:QAG524307 QKC524302:QKC524307 QTY524302:QTY524307 RDU524302:RDU524307 RNQ524302:RNQ524307 RXM524302:RXM524307 SHI524302:SHI524307 SRE524302:SRE524307 TBA524302:TBA524307 TKW524302:TKW524307 TUS524302:TUS524307 UEO524302:UEO524307 UOK524302:UOK524307 UYG524302:UYG524307 VIC524302:VIC524307 VRY524302:VRY524307 WBU524302:WBU524307 WLQ524302:WLQ524307 WVM524302:WVM524307 E589838:E589843 JA589838:JA589843 SW589838:SW589843 ACS589838:ACS589843 AMO589838:AMO589843 AWK589838:AWK589843 BGG589838:BGG589843 BQC589838:BQC589843 BZY589838:BZY589843 CJU589838:CJU589843 CTQ589838:CTQ589843 DDM589838:DDM589843 DNI589838:DNI589843 DXE589838:DXE589843 EHA589838:EHA589843 EQW589838:EQW589843 FAS589838:FAS589843 FKO589838:FKO589843 FUK589838:FUK589843 GEG589838:GEG589843 GOC589838:GOC589843 GXY589838:GXY589843 HHU589838:HHU589843 HRQ589838:HRQ589843 IBM589838:IBM589843 ILI589838:ILI589843 IVE589838:IVE589843 JFA589838:JFA589843 JOW589838:JOW589843 JYS589838:JYS589843 KIO589838:KIO589843 KSK589838:KSK589843 LCG589838:LCG589843 LMC589838:LMC589843 LVY589838:LVY589843 MFU589838:MFU589843 MPQ589838:MPQ589843 MZM589838:MZM589843 NJI589838:NJI589843 NTE589838:NTE589843 ODA589838:ODA589843 OMW589838:OMW589843 OWS589838:OWS589843 PGO589838:PGO589843 PQK589838:PQK589843 QAG589838:QAG589843 QKC589838:QKC589843 QTY589838:QTY589843 RDU589838:RDU589843 RNQ589838:RNQ589843 RXM589838:RXM589843 SHI589838:SHI589843 SRE589838:SRE589843 TBA589838:TBA589843 TKW589838:TKW589843 TUS589838:TUS589843 UEO589838:UEO589843 UOK589838:UOK589843 UYG589838:UYG589843 VIC589838:VIC589843 VRY589838:VRY589843 WBU589838:WBU589843 WLQ589838:WLQ589843 WVM589838:WVM589843 E655374:E655379 JA655374:JA655379 SW655374:SW655379 ACS655374:ACS655379 AMO655374:AMO655379 AWK655374:AWK655379 BGG655374:BGG655379 BQC655374:BQC655379 BZY655374:BZY655379 CJU655374:CJU655379 CTQ655374:CTQ655379 DDM655374:DDM655379 DNI655374:DNI655379 DXE655374:DXE655379 EHA655374:EHA655379 EQW655374:EQW655379 FAS655374:FAS655379 FKO655374:FKO655379 FUK655374:FUK655379 GEG655374:GEG655379 GOC655374:GOC655379 GXY655374:GXY655379 HHU655374:HHU655379 HRQ655374:HRQ655379 IBM655374:IBM655379 ILI655374:ILI655379 IVE655374:IVE655379 JFA655374:JFA655379 JOW655374:JOW655379 JYS655374:JYS655379 KIO655374:KIO655379 KSK655374:KSK655379 LCG655374:LCG655379 LMC655374:LMC655379 LVY655374:LVY655379 MFU655374:MFU655379 MPQ655374:MPQ655379 MZM655374:MZM655379 NJI655374:NJI655379 NTE655374:NTE655379 ODA655374:ODA655379 OMW655374:OMW655379 OWS655374:OWS655379 PGO655374:PGO655379 PQK655374:PQK655379 QAG655374:QAG655379 QKC655374:QKC655379 QTY655374:QTY655379 RDU655374:RDU655379 RNQ655374:RNQ655379 RXM655374:RXM655379 SHI655374:SHI655379 SRE655374:SRE655379 TBA655374:TBA655379 TKW655374:TKW655379 TUS655374:TUS655379 UEO655374:UEO655379 UOK655374:UOK655379 UYG655374:UYG655379 VIC655374:VIC655379 VRY655374:VRY655379 WBU655374:WBU655379 WLQ655374:WLQ655379 WVM655374:WVM655379 E720910:E720915 JA720910:JA720915 SW720910:SW720915 ACS720910:ACS720915 AMO720910:AMO720915 AWK720910:AWK720915 BGG720910:BGG720915 BQC720910:BQC720915 BZY720910:BZY720915 CJU720910:CJU720915 CTQ720910:CTQ720915 DDM720910:DDM720915 DNI720910:DNI720915 DXE720910:DXE720915 EHA720910:EHA720915 EQW720910:EQW720915 FAS720910:FAS720915 FKO720910:FKO720915 FUK720910:FUK720915 GEG720910:GEG720915 GOC720910:GOC720915 GXY720910:GXY720915 HHU720910:HHU720915 HRQ720910:HRQ720915 IBM720910:IBM720915 ILI720910:ILI720915 IVE720910:IVE720915 JFA720910:JFA720915 JOW720910:JOW720915 JYS720910:JYS720915 KIO720910:KIO720915 KSK720910:KSK720915 LCG720910:LCG720915 LMC720910:LMC720915 LVY720910:LVY720915 MFU720910:MFU720915 MPQ720910:MPQ720915 MZM720910:MZM720915 NJI720910:NJI720915 NTE720910:NTE720915 ODA720910:ODA720915 OMW720910:OMW720915 OWS720910:OWS720915 PGO720910:PGO720915 PQK720910:PQK720915 QAG720910:QAG720915 QKC720910:QKC720915 QTY720910:QTY720915 RDU720910:RDU720915 RNQ720910:RNQ720915 RXM720910:RXM720915 SHI720910:SHI720915 SRE720910:SRE720915 TBA720910:TBA720915 TKW720910:TKW720915 TUS720910:TUS720915 UEO720910:UEO720915 UOK720910:UOK720915 UYG720910:UYG720915 VIC720910:VIC720915 VRY720910:VRY720915 WBU720910:WBU720915 WLQ720910:WLQ720915 WVM720910:WVM720915 E786446:E786451 JA786446:JA786451 SW786446:SW786451 ACS786446:ACS786451 AMO786446:AMO786451 AWK786446:AWK786451 BGG786446:BGG786451 BQC786446:BQC786451 BZY786446:BZY786451 CJU786446:CJU786451 CTQ786446:CTQ786451 DDM786446:DDM786451 DNI786446:DNI786451 DXE786446:DXE786451 EHA786446:EHA786451 EQW786446:EQW786451 FAS786446:FAS786451 FKO786446:FKO786451 FUK786446:FUK786451 GEG786446:GEG786451 GOC786446:GOC786451 GXY786446:GXY786451 HHU786446:HHU786451 HRQ786446:HRQ786451 IBM786446:IBM786451 ILI786446:ILI786451 IVE786446:IVE786451 JFA786446:JFA786451 JOW786446:JOW786451 JYS786446:JYS786451 KIO786446:KIO786451 KSK786446:KSK786451 LCG786446:LCG786451 LMC786446:LMC786451 LVY786446:LVY786451 MFU786446:MFU786451 MPQ786446:MPQ786451 MZM786446:MZM786451 NJI786446:NJI786451 NTE786446:NTE786451 ODA786446:ODA786451 OMW786446:OMW786451 OWS786446:OWS786451 PGO786446:PGO786451 PQK786446:PQK786451 QAG786446:QAG786451 QKC786446:QKC786451 QTY786446:QTY786451 RDU786446:RDU786451 RNQ786446:RNQ786451 RXM786446:RXM786451 SHI786446:SHI786451 SRE786446:SRE786451 TBA786446:TBA786451 TKW786446:TKW786451 TUS786446:TUS786451 UEO786446:UEO786451 UOK786446:UOK786451 UYG786446:UYG786451 VIC786446:VIC786451 VRY786446:VRY786451 WBU786446:WBU786451 WLQ786446:WLQ786451 WVM786446:WVM786451 E851982:E851987 JA851982:JA851987 SW851982:SW851987 ACS851982:ACS851987 AMO851982:AMO851987 AWK851982:AWK851987 BGG851982:BGG851987 BQC851982:BQC851987 BZY851982:BZY851987 CJU851982:CJU851987 CTQ851982:CTQ851987 DDM851982:DDM851987 DNI851982:DNI851987 DXE851982:DXE851987 EHA851982:EHA851987 EQW851982:EQW851987 FAS851982:FAS851987 FKO851982:FKO851987 FUK851982:FUK851987 GEG851982:GEG851987 GOC851982:GOC851987 GXY851982:GXY851987 HHU851982:HHU851987 HRQ851982:HRQ851987 IBM851982:IBM851987 ILI851982:ILI851987 IVE851982:IVE851987 JFA851982:JFA851987 JOW851982:JOW851987 JYS851982:JYS851987 KIO851982:KIO851987 KSK851982:KSK851987 LCG851982:LCG851987 LMC851982:LMC851987 LVY851982:LVY851987 MFU851982:MFU851987 MPQ851982:MPQ851987 MZM851982:MZM851987 NJI851982:NJI851987 NTE851982:NTE851987 ODA851982:ODA851987 OMW851982:OMW851987 OWS851982:OWS851987 PGO851982:PGO851987 PQK851982:PQK851987 QAG851982:QAG851987 QKC851982:QKC851987 QTY851982:QTY851987 RDU851982:RDU851987 RNQ851982:RNQ851987 RXM851982:RXM851987 SHI851982:SHI851987 SRE851982:SRE851987 TBA851982:TBA851987 TKW851982:TKW851987 TUS851982:TUS851987 UEO851982:UEO851987 UOK851982:UOK851987 UYG851982:UYG851987 VIC851982:VIC851987 VRY851982:VRY851987 WBU851982:WBU851987 WLQ851982:WLQ851987 WVM851982:WVM851987 E917518:E917523 JA917518:JA917523 SW917518:SW917523 ACS917518:ACS917523 AMO917518:AMO917523 AWK917518:AWK917523 BGG917518:BGG917523 BQC917518:BQC917523 BZY917518:BZY917523 CJU917518:CJU917523 CTQ917518:CTQ917523 DDM917518:DDM917523 DNI917518:DNI917523 DXE917518:DXE917523 EHA917518:EHA917523 EQW917518:EQW917523 FAS917518:FAS917523 FKO917518:FKO917523 FUK917518:FUK917523 GEG917518:GEG917523 GOC917518:GOC917523 GXY917518:GXY917523 HHU917518:HHU917523 HRQ917518:HRQ917523 IBM917518:IBM917523 ILI917518:ILI917523 IVE917518:IVE917523 JFA917518:JFA917523 JOW917518:JOW917523 JYS917518:JYS917523 KIO917518:KIO917523 KSK917518:KSK917523 LCG917518:LCG917523 LMC917518:LMC917523 LVY917518:LVY917523 MFU917518:MFU917523 MPQ917518:MPQ917523 MZM917518:MZM917523 NJI917518:NJI917523 NTE917518:NTE917523 ODA917518:ODA917523 OMW917518:OMW917523 OWS917518:OWS917523 PGO917518:PGO917523 PQK917518:PQK917523 QAG917518:QAG917523 QKC917518:QKC917523 QTY917518:QTY917523 RDU917518:RDU917523 RNQ917518:RNQ917523 RXM917518:RXM917523 SHI917518:SHI917523 SRE917518:SRE917523 TBA917518:TBA917523 TKW917518:TKW917523 TUS917518:TUS917523 UEO917518:UEO917523 UOK917518:UOK917523 UYG917518:UYG917523 VIC917518:VIC917523 VRY917518:VRY917523 WBU917518:WBU917523 WLQ917518:WLQ917523 WVM917518:WVM917523 E983054:E983059 JA983054:JA983059 SW983054:SW983059 ACS983054:ACS983059 AMO983054:AMO983059 AWK983054:AWK983059 BGG983054:BGG983059 BQC983054:BQC983059 BZY983054:BZY983059 CJU983054:CJU983059 CTQ983054:CTQ983059 DDM983054:DDM983059 DNI983054:DNI983059 DXE983054:DXE983059 EHA983054:EHA983059 EQW983054:EQW983059 FAS983054:FAS983059 FKO983054:FKO983059 FUK983054:FUK983059 GEG983054:GEG983059 GOC983054:GOC983059 GXY983054:GXY983059 HHU983054:HHU983059 HRQ983054:HRQ983059 IBM983054:IBM983059 ILI983054:ILI983059 IVE983054:IVE983059 JFA983054:JFA983059 JOW983054:JOW983059 JYS983054:JYS983059 KIO983054:KIO983059 KSK983054:KSK983059 LCG983054:LCG983059 LMC983054:LMC983059 LVY983054:LVY983059 MFU983054:MFU983059 MPQ983054:MPQ983059 MZM983054:MZM983059 NJI983054:NJI983059 NTE983054:NTE983059 ODA983054:ODA983059 OMW983054:OMW983059 OWS983054:OWS983059 PGO983054:PGO983059 PQK983054:PQK983059 QAG983054:QAG983059 QKC983054:QKC983059 QTY983054:QTY983059 RDU983054:RDU983059 RNQ983054:RNQ983059 RXM983054:RXM983059 SHI983054:SHI983059 SRE983054:SRE983059 TBA983054:TBA983059 TKW983054:TKW983059 TUS983054:TUS983059 UEO983054:UEO983059 UOK983054:UOK983059 UYG983054:UYG983059 VIC983054:VIC983059 VRY983054:VRY983059 WBU983054:WBU983059 WLQ983054:WLQ983059 WVM983054:WVM983059"/>
  </dataValidations>
  <pageMargins left="0.7" right="0.7" top="0.75" bottom="0.75" header="0.3" footer="0.3"/>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I18"/>
  <sheetViews>
    <sheetView workbookViewId="0">
      <selection activeCell="D42" sqref="D42"/>
    </sheetView>
  </sheetViews>
  <sheetFormatPr defaultRowHeight="12.75"/>
  <cols>
    <col min="7" max="7" width="29" customWidth="1"/>
    <col min="8" max="8" width="12.7109375" style="311" customWidth="1"/>
    <col min="9" max="9" width="12.7109375" customWidth="1"/>
  </cols>
  <sheetData>
    <row r="1" spans="1:9" ht="15" customHeight="1">
      <c r="A1" s="811" t="s">
        <v>404</v>
      </c>
      <c r="B1" s="812"/>
      <c r="C1" s="812"/>
      <c r="D1" s="812"/>
      <c r="E1" s="812"/>
      <c r="F1" s="812"/>
      <c r="G1" s="812"/>
      <c r="H1" s="812"/>
      <c r="I1" s="813"/>
    </row>
    <row r="2" spans="1:9" ht="15" customHeight="1">
      <c r="A2" s="814"/>
      <c r="B2" s="815"/>
      <c r="C2" s="815"/>
      <c r="D2" s="815"/>
      <c r="E2" s="815"/>
      <c r="F2" s="815"/>
      <c r="G2" s="815"/>
      <c r="H2" s="815"/>
      <c r="I2" s="816"/>
    </row>
    <row r="3" spans="1:9" ht="15" customHeight="1">
      <c r="A3" s="817" t="s">
        <v>82</v>
      </c>
      <c r="B3" s="818"/>
      <c r="C3" s="818"/>
      <c r="D3" s="818"/>
      <c r="E3" s="818"/>
      <c r="F3" s="818"/>
      <c r="G3" s="818"/>
      <c r="H3" s="818"/>
      <c r="I3" s="819"/>
    </row>
    <row r="4" spans="1:9" s="311" customFormat="1" ht="15" customHeight="1">
      <c r="A4" s="528"/>
      <c r="B4" s="529"/>
      <c r="C4" s="529"/>
      <c r="D4" s="529"/>
      <c r="E4" s="529"/>
      <c r="F4" s="529"/>
      <c r="G4" s="529"/>
      <c r="H4" s="684"/>
      <c r="I4" s="685"/>
    </row>
    <row r="5" spans="1:9" ht="15" customHeight="1" thickBot="1">
      <c r="A5" s="376" t="str">
        <f>ORÇAMENTO!C5</f>
        <v>Estrada Passo Salseiro</v>
      </c>
      <c r="B5" s="377"/>
      <c r="C5" s="378"/>
      <c r="D5" s="379"/>
      <c r="E5" s="379"/>
      <c r="F5" s="379"/>
      <c r="G5" s="380"/>
      <c r="H5" s="749" t="s">
        <v>218</v>
      </c>
      <c r="I5" s="750" t="s">
        <v>588</v>
      </c>
    </row>
    <row r="6" spans="1:9" ht="24.95" customHeight="1">
      <c r="A6" s="820" t="s">
        <v>119</v>
      </c>
      <c r="B6" s="822" t="s">
        <v>83</v>
      </c>
      <c r="C6" s="823"/>
      <c r="D6" s="823"/>
      <c r="E6" s="823"/>
      <c r="F6" s="823"/>
      <c r="G6" s="824"/>
      <c r="H6" s="828" t="s">
        <v>57</v>
      </c>
      <c r="I6" s="828" t="s">
        <v>572</v>
      </c>
    </row>
    <row r="7" spans="1:9" ht="24.95" customHeight="1" thickBot="1">
      <c r="A7" s="821"/>
      <c r="B7" s="825"/>
      <c r="C7" s="826"/>
      <c r="D7" s="826"/>
      <c r="E7" s="826"/>
      <c r="F7" s="826"/>
      <c r="G7" s="827"/>
      <c r="H7" s="829"/>
      <c r="I7" s="829"/>
    </row>
    <row r="8" spans="1:9" ht="24.95" customHeight="1" thickBot="1">
      <c r="A8" s="104" t="s">
        <v>75</v>
      </c>
      <c r="B8" s="105"/>
      <c r="C8" s="105" t="s">
        <v>562</v>
      </c>
      <c r="D8" s="105"/>
      <c r="E8" s="105"/>
      <c r="F8" s="105"/>
      <c r="G8" s="106"/>
      <c r="H8" s="106"/>
      <c r="I8" s="690"/>
    </row>
    <row r="9" spans="1:9" ht="24.95" customHeight="1" thickBot="1">
      <c r="A9" s="798" t="s">
        <v>50</v>
      </c>
      <c r="B9" s="799"/>
      <c r="C9" s="799"/>
      <c r="D9" s="799"/>
      <c r="E9" s="799"/>
      <c r="F9" s="799"/>
      <c r="G9" s="800"/>
      <c r="H9" s="102">
        <f>ORÇAMENTO!O34</f>
        <v>157551.38999999998</v>
      </c>
      <c r="I9" s="695">
        <f>H9/$H$18</f>
        <v>0.10485901541907103</v>
      </c>
    </row>
    <row r="10" spans="1:9" ht="24.95" customHeight="1" thickBot="1">
      <c r="A10" s="107" t="s">
        <v>76</v>
      </c>
      <c r="B10" s="108"/>
      <c r="C10" s="108" t="s">
        <v>49</v>
      </c>
      <c r="D10" s="108"/>
      <c r="E10" s="108"/>
      <c r="F10" s="108"/>
      <c r="G10" s="109"/>
      <c r="H10" s="109"/>
      <c r="I10" s="690"/>
    </row>
    <row r="11" spans="1:9" ht="24.95" customHeight="1" thickBot="1">
      <c r="A11" s="801" t="s">
        <v>208</v>
      </c>
      <c r="B11" s="802"/>
      <c r="C11" s="802"/>
      <c r="D11" s="802"/>
      <c r="E11" s="802"/>
      <c r="F11" s="802"/>
      <c r="G11" s="803"/>
      <c r="H11" s="102">
        <f>ORÇAMENTO!O48</f>
        <v>1101042.8199999998</v>
      </c>
      <c r="I11" s="695">
        <f>H11/$H$18</f>
        <v>0.73280385555111538</v>
      </c>
    </row>
    <row r="12" spans="1:9" ht="24.95" customHeight="1" thickBot="1">
      <c r="A12" s="104" t="s">
        <v>78</v>
      </c>
      <c r="B12" s="105"/>
      <c r="C12" s="105" t="s">
        <v>38</v>
      </c>
      <c r="D12" s="105"/>
      <c r="E12" s="105"/>
      <c r="F12" s="105"/>
      <c r="G12" s="106"/>
      <c r="H12" s="691"/>
      <c r="I12" s="692"/>
    </row>
    <row r="13" spans="1:9" ht="24.95" customHeight="1" thickBot="1">
      <c r="A13" s="798" t="s">
        <v>84</v>
      </c>
      <c r="B13" s="799"/>
      <c r="C13" s="799"/>
      <c r="D13" s="799"/>
      <c r="E13" s="799"/>
      <c r="F13" s="799"/>
      <c r="G13" s="800"/>
      <c r="H13" s="102">
        <f>ORÇAMENTO!O66</f>
        <v>171636.73</v>
      </c>
      <c r="I13" s="695">
        <f>H13/$H$18</f>
        <v>0.11423357494687247</v>
      </c>
    </row>
    <row r="14" spans="1:9" ht="24.95" customHeight="1" thickBot="1">
      <c r="A14" s="103" t="s">
        <v>80</v>
      </c>
      <c r="B14" s="100"/>
      <c r="C14" s="100" t="s">
        <v>12</v>
      </c>
      <c r="D14" s="100"/>
      <c r="E14" s="100"/>
      <c r="F14" s="100"/>
      <c r="G14" s="101"/>
      <c r="H14" s="693"/>
      <c r="I14" s="694"/>
    </row>
    <row r="15" spans="1:9" ht="24.95" customHeight="1" thickBot="1">
      <c r="A15" s="804" t="s">
        <v>563</v>
      </c>
      <c r="B15" s="805"/>
      <c r="C15" s="805"/>
      <c r="D15" s="805"/>
      <c r="E15" s="805"/>
      <c r="F15" s="805"/>
      <c r="G15" s="806"/>
      <c r="H15" s="102">
        <f>ORÇAMENTO!O72</f>
        <v>24600.560000000001</v>
      </c>
      <c r="I15" s="695">
        <f>H15/$H$18</f>
        <v>1.6373010103927249E-2</v>
      </c>
    </row>
    <row r="16" spans="1:9" ht="24.95" customHeight="1" thickBot="1">
      <c r="A16" s="103" t="s">
        <v>81</v>
      </c>
      <c r="B16" s="100"/>
      <c r="C16" s="100" t="s">
        <v>214</v>
      </c>
      <c r="D16" s="100"/>
      <c r="E16" s="100"/>
      <c r="F16" s="100"/>
      <c r="G16" s="101"/>
      <c r="H16" s="693"/>
      <c r="I16" s="694"/>
    </row>
    <row r="17" spans="1:9" ht="24.95" customHeight="1" thickBot="1">
      <c r="A17" s="807" t="s">
        <v>209</v>
      </c>
      <c r="B17" s="808"/>
      <c r="C17" s="809"/>
      <c r="D17" s="808"/>
      <c r="E17" s="808"/>
      <c r="F17" s="808"/>
      <c r="G17" s="810"/>
      <c r="H17" s="102">
        <f>ORÇAMENTO!O85</f>
        <v>47675.360000000001</v>
      </c>
      <c r="I17" s="695">
        <f>H17/$H$18</f>
        <v>3.1730543979013849E-2</v>
      </c>
    </row>
    <row r="18" spans="1:9" ht="24.95" customHeight="1" thickBot="1">
      <c r="A18" s="795" t="s">
        <v>0</v>
      </c>
      <c r="B18" s="796"/>
      <c r="C18" s="796"/>
      <c r="D18" s="796"/>
      <c r="E18" s="796"/>
      <c r="F18" s="796"/>
      <c r="G18" s="797"/>
      <c r="H18" s="558">
        <f>SUM(H9:H17)</f>
        <v>1502506.8599999999</v>
      </c>
      <c r="I18" s="696">
        <f>SUM(I9:I17)</f>
        <v>1</v>
      </c>
    </row>
  </sheetData>
  <mergeCells count="12">
    <mergeCell ref="A1:I2"/>
    <mergeCell ref="A3:I3"/>
    <mergeCell ref="A6:A7"/>
    <mergeCell ref="B6:G7"/>
    <mergeCell ref="I6:I7"/>
    <mergeCell ref="H6:H7"/>
    <mergeCell ref="A18:G18"/>
    <mergeCell ref="A9:G9"/>
    <mergeCell ref="A11:G11"/>
    <mergeCell ref="A13:G13"/>
    <mergeCell ref="A15:G15"/>
    <mergeCell ref="A17:G17"/>
  </mergeCells>
  <printOptions horizontalCentered="1"/>
  <pageMargins left="1.1811023622047245" right="0.98425196850393704" top="1.1811023622047245" bottom="1.1811023622047245" header="0.31496062992125984" footer="0.31496062992125984"/>
  <pageSetup paperSize="9" scale="71" orientation="portrait" horizontalDpi="1200" verticalDpi="1200" r:id="rId1"/>
</worksheet>
</file>

<file path=xl/worksheets/sheet3.xml><?xml version="1.0" encoding="utf-8"?>
<worksheet xmlns="http://schemas.openxmlformats.org/spreadsheetml/2006/main" xmlns:r="http://schemas.openxmlformats.org/officeDocument/2006/relationships">
  <sheetPr>
    <pageSetUpPr fitToPage="1"/>
  </sheetPr>
  <dimension ref="A1:V95"/>
  <sheetViews>
    <sheetView zoomScale="90" zoomScaleNormal="90" workbookViewId="0">
      <pane ySplit="3105" topLeftCell="A61" activePane="bottomLeft"/>
      <selection activeCell="D42" sqref="D42"/>
      <selection pane="bottomLeft" activeCell="D42" sqref="D42"/>
    </sheetView>
  </sheetViews>
  <sheetFormatPr defaultRowHeight="12.75"/>
  <cols>
    <col min="1" max="1" width="9" style="2" customWidth="1"/>
    <col min="2" max="2" width="18.42578125" style="2" bestFit="1" customWidth="1"/>
    <col min="3" max="3" width="70.7109375" style="1" customWidth="1"/>
    <col min="4" max="4" width="5.7109375" style="1" customWidth="1"/>
    <col min="5" max="5" width="6.140625" style="141" bestFit="1" customWidth="1"/>
    <col min="6" max="6" width="4" style="1" bestFit="1" customWidth="1"/>
    <col min="7" max="7" width="7.5703125" style="1" bestFit="1" customWidth="1"/>
    <col min="8" max="12" width="15.7109375" style="1" customWidth="1"/>
    <col min="13" max="13" width="17.85546875" style="1" customWidth="1"/>
    <col min="14" max="14" width="19.5703125" style="1" customWidth="1"/>
    <col min="15" max="15" width="19" style="1" customWidth="1"/>
    <col min="16" max="16" width="3.85546875" style="1" customWidth="1"/>
    <col min="17" max="18" width="9.140625" style="75" customWidth="1"/>
    <col min="19" max="19" width="9.42578125" style="75" customWidth="1"/>
    <col min="20" max="24" width="9.140625" style="1" customWidth="1"/>
    <col min="25" max="16384" width="9.140625" style="1"/>
  </cols>
  <sheetData>
    <row r="1" spans="1:22" ht="15" customHeight="1">
      <c r="A1" s="841" t="s">
        <v>405</v>
      </c>
      <c r="B1" s="842"/>
      <c r="C1" s="842"/>
      <c r="D1" s="842"/>
      <c r="E1" s="842"/>
      <c r="F1" s="842"/>
      <c r="G1" s="842"/>
      <c r="H1" s="842"/>
      <c r="I1" s="842"/>
      <c r="J1" s="842"/>
      <c r="K1" s="842"/>
      <c r="L1" s="842"/>
      <c r="M1" s="842"/>
      <c r="N1" s="842"/>
      <c r="O1" s="843"/>
      <c r="R1" s="328"/>
      <c r="S1" s="328"/>
      <c r="T1" s="328"/>
      <c r="U1" s="328"/>
      <c r="V1" s="328"/>
    </row>
    <row r="2" spans="1:22" ht="15" customHeight="1">
      <c r="A2" s="844"/>
      <c r="B2" s="845"/>
      <c r="C2" s="845"/>
      <c r="D2" s="845"/>
      <c r="E2" s="845"/>
      <c r="F2" s="845"/>
      <c r="G2" s="845"/>
      <c r="H2" s="845"/>
      <c r="I2" s="845"/>
      <c r="J2" s="845"/>
      <c r="K2" s="845"/>
      <c r="L2" s="845"/>
      <c r="M2" s="845"/>
      <c r="N2" s="845"/>
      <c r="O2" s="846"/>
      <c r="R2" s="328" t="s">
        <v>387</v>
      </c>
      <c r="S2" s="328"/>
      <c r="T2" s="328"/>
      <c r="U2" s="328"/>
      <c r="V2" s="328"/>
    </row>
    <row r="3" spans="1:22" ht="15" customHeight="1">
      <c r="A3" s="844"/>
      <c r="B3" s="845"/>
      <c r="C3" s="845"/>
      <c r="D3" s="845"/>
      <c r="E3" s="845"/>
      <c r="F3" s="845"/>
      <c r="G3" s="845"/>
      <c r="H3" s="845"/>
      <c r="I3" s="845"/>
      <c r="J3" s="845"/>
      <c r="K3" s="845"/>
      <c r="L3" s="845"/>
      <c r="M3" s="845"/>
      <c r="N3" s="845"/>
      <c r="O3" s="846"/>
      <c r="R3" s="305" t="s">
        <v>388</v>
      </c>
      <c r="S3" s="304">
        <v>13.1</v>
      </c>
      <c r="T3" s="328"/>
      <c r="U3" s="328"/>
      <c r="V3" s="328"/>
    </row>
    <row r="4" spans="1:22" ht="15" customHeight="1" thickBot="1">
      <c r="A4" s="847"/>
      <c r="B4" s="848"/>
      <c r="C4" s="848"/>
      <c r="D4" s="848"/>
      <c r="E4" s="848"/>
      <c r="F4" s="848"/>
      <c r="G4" s="848"/>
      <c r="H4" s="848"/>
      <c r="I4" s="848"/>
      <c r="J4" s="848"/>
      <c r="K4" s="848"/>
      <c r="L4" s="848"/>
      <c r="M4" s="848"/>
      <c r="N4" s="848"/>
      <c r="O4" s="849"/>
      <c r="R4" s="305" t="s">
        <v>389</v>
      </c>
      <c r="S4" s="110">
        <v>46.6</v>
      </c>
      <c r="T4" s="328"/>
      <c r="U4" s="328"/>
      <c r="V4" s="328"/>
    </row>
    <row r="5" spans="1:22" s="33" customFormat="1" ht="15" customHeight="1">
      <c r="A5" s="381" t="s">
        <v>66</v>
      </c>
      <c r="B5" s="382"/>
      <c r="C5" s="377" t="s">
        <v>571</v>
      </c>
      <c r="D5" s="377"/>
      <c r="E5" s="383"/>
      <c r="F5" s="377"/>
      <c r="G5" s="384"/>
      <c r="H5" s="384"/>
      <c r="I5" s="384"/>
      <c r="J5" s="384"/>
      <c r="K5" s="384"/>
      <c r="L5" s="385"/>
      <c r="M5" s="384"/>
      <c r="N5" s="386" t="s">
        <v>218</v>
      </c>
      <c r="O5" s="387" t="s">
        <v>588</v>
      </c>
      <c r="R5" s="372"/>
      <c r="S5" s="306"/>
      <c r="T5" s="372"/>
      <c r="U5" s="372"/>
      <c r="V5" s="372"/>
    </row>
    <row r="6" spans="1:22" s="33" customFormat="1" ht="15" customHeight="1">
      <c r="A6" s="381" t="s">
        <v>65</v>
      </c>
      <c r="B6" s="382"/>
      <c r="C6" s="377" t="s">
        <v>468</v>
      </c>
      <c r="D6" s="377"/>
      <c r="E6" s="383"/>
      <c r="F6" s="377"/>
      <c r="G6" s="385"/>
      <c r="H6" s="385"/>
      <c r="I6" s="385"/>
      <c r="J6" s="385"/>
      <c r="K6" s="385"/>
      <c r="L6" s="385"/>
      <c r="M6" s="385"/>
      <c r="N6" s="377" t="s">
        <v>219</v>
      </c>
      <c r="O6" s="388" t="s">
        <v>589</v>
      </c>
      <c r="Q6" s="111"/>
      <c r="R6" s="372"/>
      <c r="S6" s="306"/>
      <c r="T6" s="372"/>
      <c r="U6" s="372"/>
      <c r="V6" s="372"/>
    </row>
    <row r="7" spans="1:22" s="33" customFormat="1" ht="15" customHeight="1">
      <c r="A7" s="381" t="s">
        <v>64</v>
      </c>
      <c r="B7" s="382"/>
      <c r="C7" s="378">
        <v>900</v>
      </c>
      <c r="D7" s="379"/>
      <c r="E7" s="383"/>
      <c r="F7" s="379"/>
      <c r="G7" s="385"/>
      <c r="H7" s="385"/>
      <c r="I7" s="389"/>
      <c r="J7" s="389"/>
      <c r="K7" s="389"/>
      <c r="L7" s="385"/>
      <c r="M7" s="389"/>
      <c r="N7" s="386" t="s">
        <v>118</v>
      </c>
      <c r="O7" s="390">
        <v>0.24030000000000001</v>
      </c>
      <c r="Q7" s="76"/>
      <c r="R7" s="372"/>
      <c r="S7" s="306"/>
      <c r="T7" s="372"/>
      <c r="U7" s="372"/>
      <c r="V7" s="372"/>
    </row>
    <row r="8" spans="1:22" s="33" customFormat="1" ht="15" customHeight="1" thickBot="1">
      <c r="A8" s="381" t="s">
        <v>63</v>
      </c>
      <c r="B8" s="382"/>
      <c r="C8" s="379">
        <v>8</v>
      </c>
      <c r="D8" s="379" t="s">
        <v>8</v>
      </c>
      <c r="E8" s="383"/>
      <c r="F8" s="379"/>
      <c r="G8" s="385"/>
      <c r="H8" s="385"/>
      <c r="I8" s="378"/>
      <c r="J8" s="378" t="s">
        <v>8</v>
      </c>
      <c r="K8" s="378"/>
      <c r="L8" s="385"/>
      <c r="M8" s="378" t="s">
        <v>8</v>
      </c>
      <c r="N8" s="386"/>
      <c r="O8" s="391"/>
      <c r="Q8" s="76"/>
      <c r="R8" s="372"/>
      <c r="S8" s="372"/>
      <c r="T8" s="372"/>
      <c r="U8" s="372"/>
      <c r="V8" s="372"/>
    </row>
    <row r="9" spans="1:22" ht="15" customHeight="1" thickBot="1">
      <c r="A9" s="820" t="s">
        <v>62</v>
      </c>
      <c r="B9" s="850" t="s">
        <v>61</v>
      </c>
      <c r="C9" s="852" t="s">
        <v>60</v>
      </c>
      <c r="D9" s="853"/>
      <c r="E9" s="853"/>
      <c r="F9" s="854"/>
      <c r="G9" s="858" t="s">
        <v>6</v>
      </c>
      <c r="H9" s="860" t="s">
        <v>59</v>
      </c>
      <c r="I9" s="839" t="s">
        <v>100</v>
      </c>
      <c r="J9" s="839" t="s">
        <v>101</v>
      </c>
      <c r="K9" s="835" t="s">
        <v>58</v>
      </c>
      <c r="L9" s="836"/>
      <c r="M9" s="835" t="s">
        <v>104</v>
      </c>
      <c r="N9" s="836"/>
      <c r="O9" s="828" t="s">
        <v>57</v>
      </c>
      <c r="R9" s="328"/>
      <c r="S9" s="328"/>
      <c r="T9" s="328"/>
      <c r="U9" s="328"/>
      <c r="V9" s="328"/>
    </row>
    <row r="10" spans="1:22" ht="24" customHeight="1" thickBot="1">
      <c r="A10" s="821"/>
      <c r="B10" s="851"/>
      <c r="C10" s="855"/>
      <c r="D10" s="856"/>
      <c r="E10" s="856"/>
      <c r="F10" s="857"/>
      <c r="G10" s="859"/>
      <c r="H10" s="861"/>
      <c r="I10" s="840"/>
      <c r="J10" s="840"/>
      <c r="K10" s="392" t="s">
        <v>102</v>
      </c>
      <c r="L10" s="393" t="s">
        <v>103</v>
      </c>
      <c r="M10" s="392" t="s">
        <v>102</v>
      </c>
      <c r="N10" s="393" t="s">
        <v>103</v>
      </c>
      <c r="O10" s="829"/>
      <c r="R10" s="328"/>
      <c r="S10" s="328"/>
      <c r="T10" s="328"/>
      <c r="U10" s="328"/>
      <c r="V10" s="328"/>
    </row>
    <row r="11" spans="1:22" ht="15" customHeight="1" thickBot="1">
      <c r="A11" s="21" t="s">
        <v>75</v>
      </c>
      <c r="B11" s="20"/>
      <c r="C11" s="19" t="s">
        <v>419</v>
      </c>
      <c r="D11" s="19"/>
      <c r="E11" s="129"/>
      <c r="F11" s="19"/>
      <c r="G11" s="18"/>
      <c r="H11" s="18"/>
      <c r="I11" s="18"/>
      <c r="J11" s="18"/>
      <c r="K11" s="18"/>
      <c r="L11" s="18"/>
      <c r="M11" s="18"/>
      <c r="N11" s="18"/>
      <c r="O11" s="16"/>
    </row>
    <row r="12" spans="1:22" ht="15" customHeight="1">
      <c r="A12" s="37" t="s">
        <v>54</v>
      </c>
      <c r="B12" s="37" t="s">
        <v>8</v>
      </c>
      <c r="C12" s="38" t="s">
        <v>85</v>
      </c>
      <c r="D12" s="98"/>
      <c r="E12" s="130"/>
      <c r="F12" s="32"/>
      <c r="G12" s="31"/>
      <c r="H12" s="115"/>
      <c r="I12" s="30"/>
      <c r="J12" s="30"/>
      <c r="K12" s="30"/>
      <c r="L12" s="30"/>
      <c r="M12" s="30"/>
      <c r="N12" s="30"/>
      <c r="O12" s="29"/>
    </row>
    <row r="13" spans="1:22" ht="15" customHeight="1">
      <c r="A13" s="327" t="s">
        <v>86</v>
      </c>
      <c r="B13" s="327" t="s">
        <v>123</v>
      </c>
      <c r="C13" s="310" t="s">
        <v>5</v>
      </c>
      <c r="D13" s="127"/>
      <c r="E13" s="131"/>
      <c r="F13" s="370"/>
      <c r="G13" s="327" t="s">
        <v>90</v>
      </c>
      <c r="H13" s="309">
        <f>MEMÓRIA!H9</f>
        <v>2.88</v>
      </c>
      <c r="I13" s="316">
        <v>236.93</v>
      </c>
      <c r="J13" s="316">
        <f>ROUND(I13*(1+$O$7),2)</f>
        <v>293.86</v>
      </c>
      <c r="K13" s="316">
        <f>ROUND(J13*0.8,2)</f>
        <v>235.09</v>
      </c>
      <c r="L13" s="316">
        <f>J13-K13</f>
        <v>58.77000000000001</v>
      </c>
      <c r="M13" s="316">
        <f>ROUND(H13*K13,2)</f>
        <v>677.06</v>
      </c>
      <c r="N13" s="316">
        <f>O13-M13</f>
        <v>169.2600000000001</v>
      </c>
      <c r="O13" s="350">
        <f>ROUND(H13*J13,2)</f>
        <v>846.32</v>
      </c>
    </row>
    <row r="14" spans="1:22" ht="15" customHeight="1">
      <c r="A14" s="327" t="s">
        <v>87</v>
      </c>
      <c r="B14" s="326" t="s">
        <v>111</v>
      </c>
      <c r="C14" s="310" t="s">
        <v>67</v>
      </c>
      <c r="D14" s="127"/>
      <c r="E14" s="131"/>
      <c r="F14" s="370"/>
      <c r="G14" s="327" t="s">
        <v>90</v>
      </c>
      <c r="H14" s="309">
        <f>MEMÓRIA!H16</f>
        <v>1800</v>
      </c>
      <c r="I14" s="316">
        <v>0.49</v>
      </c>
      <c r="J14" s="316">
        <f t="shared" ref="J14:J33" si="0">ROUND(I14*(1+$O$7),2)</f>
        <v>0.61</v>
      </c>
      <c r="K14" s="316">
        <f t="shared" ref="K14:K27" si="1">ROUND(J14*0.8,2)</f>
        <v>0.49</v>
      </c>
      <c r="L14" s="316">
        <f>J14-K14</f>
        <v>0.12</v>
      </c>
      <c r="M14" s="316">
        <f>ROUND(H14*K14,2)</f>
        <v>882</v>
      </c>
      <c r="N14" s="316">
        <f>O14-M14</f>
        <v>216</v>
      </c>
      <c r="O14" s="350">
        <f t="shared" ref="O14:O33" si="2">ROUND(H14*J14,2)</f>
        <v>1098</v>
      </c>
    </row>
    <row r="15" spans="1:22" ht="15" customHeight="1">
      <c r="A15" s="327" t="s">
        <v>88</v>
      </c>
      <c r="B15" s="327">
        <v>72888</v>
      </c>
      <c r="C15" s="310" t="s">
        <v>144</v>
      </c>
      <c r="D15" s="127"/>
      <c r="E15" s="131"/>
      <c r="F15" s="370"/>
      <c r="G15" s="327" t="s">
        <v>91</v>
      </c>
      <c r="H15" s="309">
        <f>MEMÓRIA!H20</f>
        <v>360</v>
      </c>
      <c r="I15" s="316">
        <v>1.1399999999999999</v>
      </c>
      <c r="J15" s="316">
        <f>ROUND(I15*(1+$O$7),2)</f>
        <v>1.41</v>
      </c>
      <c r="K15" s="316">
        <f>ROUND(J15*0.8,2)</f>
        <v>1.1299999999999999</v>
      </c>
      <c r="L15" s="316">
        <f>J15-K15</f>
        <v>0.28000000000000003</v>
      </c>
      <c r="M15" s="316">
        <f>ROUND(H15*K15,2)</f>
        <v>406.8</v>
      </c>
      <c r="N15" s="316">
        <f>O15-M15</f>
        <v>100.80000000000001</v>
      </c>
      <c r="O15" s="350">
        <f t="shared" si="2"/>
        <v>507.6</v>
      </c>
    </row>
    <row r="16" spans="1:22" ht="15" customHeight="1">
      <c r="A16" s="327" t="s">
        <v>122</v>
      </c>
      <c r="B16" s="331">
        <v>93589</v>
      </c>
      <c r="C16" s="335" t="s">
        <v>176</v>
      </c>
      <c r="D16" s="144" t="s">
        <v>2</v>
      </c>
      <c r="E16" s="145">
        <f>S3</f>
        <v>13.1</v>
      </c>
      <c r="F16" s="332" t="s">
        <v>1</v>
      </c>
      <c r="G16" s="331" t="s">
        <v>143</v>
      </c>
      <c r="H16" s="366">
        <f>MEMÓRIA!H24</f>
        <v>5895</v>
      </c>
      <c r="I16" s="338">
        <v>1.18</v>
      </c>
      <c r="J16" s="316">
        <f t="shared" si="0"/>
        <v>1.46</v>
      </c>
      <c r="K16" s="316">
        <f t="shared" si="1"/>
        <v>1.17</v>
      </c>
      <c r="L16" s="316">
        <f t="shared" ref="L16:L27" si="3">J16-K16</f>
        <v>0.29000000000000004</v>
      </c>
      <c r="M16" s="316">
        <f>ROUND(H16*K16,2)</f>
        <v>6897.15</v>
      </c>
      <c r="N16" s="316">
        <f t="shared" ref="N16:N27" si="4">O16-M16</f>
        <v>1709.5500000000011</v>
      </c>
      <c r="O16" s="350">
        <f t="shared" si="2"/>
        <v>8606.7000000000007</v>
      </c>
    </row>
    <row r="17" spans="1:19" ht="15" customHeight="1">
      <c r="A17" s="327" t="s">
        <v>145</v>
      </c>
      <c r="B17" s="331">
        <v>83344</v>
      </c>
      <c r="C17" s="335" t="s">
        <v>51</v>
      </c>
      <c r="D17" s="127"/>
      <c r="E17" s="131"/>
      <c r="F17" s="332"/>
      <c r="G17" s="331" t="s">
        <v>91</v>
      </c>
      <c r="H17" s="366">
        <f>MEMÓRIA!H28</f>
        <v>360</v>
      </c>
      <c r="I17" s="338">
        <v>0.96</v>
      </c>
      <c r="J17" s="316">
        <f t="shared" si="0"/>
        <v>1.19</v>
      </c>
      <c r="K17" s="316">
        <f t="shared" si="1"/>
        <v>0.95</v>
      </c>
      <c r="L17" s="316">
        <f t="shared" si="3"/>
        <v>0.24</v>
      </c>
      <c r="M17" s="316">
        <f>ROUND(H17*K17,2)</f>
        <v>342</v>
      </c>
      <c r="N17" s="316">
        <f t="shared" si="4"/>
        <v>86.399999999999977</v>
      </c>
      <c r="O17" s="350">
        <f t="shared" si="2"/>
        <v>428.4</v>
      </c>
    </row>
    <row r="18" spans="1:19" ht="15" customHeight="1">
      <c r="A18" s="369" t="s">
        <v>53</v>
      </c>
      <c r="B18" s="368"/>
      <c r="C18" s="367" t="s">
        <v>89</v>
      </c>
      <c r="D18" s="127"/>
      <c r="E18" s="131"/>
      <c r="F18" s="332"/>
      <c r="G18" s="331"/>
      <c r="H18" s="366"/>
      <c r="I18" s="338"/>
      <c r="J18" s="316" t="s">
        <v>8</v>
      </c>
      <c r="K18" s="316"/>
      <c r="L18" s="316"/>
      <c r="M18" s="316"/>
      <c r="N18" s="316"/>
      <c r="O18" s="700" t="s">
        <v>8</v>
      </c>
    </row>
    <row r="19" spans="1:19" ht="15" customHeight="1">
      <c r="A19" s="327" t="s">
        <v>94</v>
      </c>
      <c r="B19" s="331">
        <v>90106</v>
      </c>
      <c r="C19" s="67" t="s">
        <v>488</v>
      </c>
      <c r="D19" s="127"/>
      <c r="E19" s="131"/>
      <c r="F19" s="332"/>
      <c r="G19" s="331" t="s">
        <v>91</v>
      </c>
      <c r="H19" s="366">
        <f>MEMÓRIA!H36</f>
        <v>60</v>
      </c>
      <c r="I19" s="338">
        <v>5.9</v>
      </c>
      <c r="J19" s="316">
        <f t="shared" si="0"/>
        <v>7.32</v>
      </c>
      <c r="K19" s="316">
        <f t="shared" si="1"/>
        <v>5.86</v>
      </c>
      <c r="L19" s="316">
        <f t="shared" si="3"/>
        <v>1.46</v>
      </c>
      <c r="M19" s="316">
        <f t="shared" ref="M19:M24" si="5">ROUND(H19*K19,2)</f>
        <v>351.6</v>
      </c>
      <c r="N19" s="316">
        <f t="shared" si="4"/>
        <v>87.599999999999966</v>
      </c>
      <c r="O19" s="350">
        <f t="shared" si="2"/>
        <v>439.2</v>
      </c>
    </row>
    <row r="20" spans="1:19" ht="15" customHeight="1">
      <c r="A20" s="327" t="s">
        <v>95</v>
      </c>
      <c r="B20" s="331">
        <v>72888</v>
      </c>
      <c r="C20" s="335" t="s">
        <v>144</v>
      </c>
      <c r="D20" s="127"/>
      <c r="E20" s="131"/>
      <c r="F20" s="332"/>
      <c r="G20" s="331" t="s">
        <v>91</v>
      </c>
      <c r="H20" s="308">
        <f>MEMÓRIA!H40</f>
        <v>60</v>
      </c>
      <c r="I20" s="338">
        <v>1.1399999999999999</v>
      </c>
      <c r="J20" s="316">
        <f t="shared" si="0"/>
        <v>1.41</v>
      </c>
      <c r="K20" s="316">
        <f t="shared" si="1"/>
        <v>1.1299999999999999</v>
      </c>
      <c r="L20" s="316">
        <f>J20-K20</f>
        <v>0.28000000000000003</v>
      </c>
      <c r="M20" s="316">
        <f t="shared" si="5"/>
        <v>67.8</v>
      </c>
      <c r="N20" s="316">
        <f>O20-M20</f>
        <v>16.799999999999997</v>
      </c>
      <c r="O20" s="350">
        <f t="shared" si="2"/>
        <v>84.6</v>
      </c>
    </row>
    <row r="21" spans="1:19" ht="15" customHeight="1">
      <c r="A21" s="327" t="s">
        <v>96</v>
      </c>
      <c r="B21" s="331">
        <v>93589</v>
      </c>
      <c r="C21" s="335" t="str">
        <f>C16</f>
        <v>Transporte comercial - bota-fora</v>
      </c>
      <c r="D21" s="144" t="s">
        <v>2</v>
      </c>
      <c r="E21" s="145">
        <f>E16</f>
        <v>13.1</v>
      </c>
      <c r="F21" s="332" t="s">
        <v>1</v>
      </c>
      <c r="G21" s="331" t="s">
        <v>143</v>
      </c>
      <c r="H21" s="366">
        <f>MEMÓRIA!H44</f>
        <v>982.5</v>
      </c>
      <c r="I21" s="338">
        <v>1.18</v>
      </c>
      <c r="J21" s="316">
        <f t="shared" si="0"/>
        <v>1.46</v>
      </c>
      <c r="K21" s="316">
        <f t="shared" si="1"/>
        <v>1.17</v>
      </c>
      <c r="L21" s="316">
        <f t="shared" si="3"/>
        <v>0.29000000000000004</v>
      </c>
      <c r="M21" s="316">
        <f t="shared" si="5"/>
        <v>1149.53</v>
      </c>
      <c r="N21" s="316">
        <f t="shared" si="4"/>
        <v>284.92000000000007</v>
      </c>
      <c r="O21" s="350">
        <f t="shared" si="2"/>
        <v>1434.45</v>
      </c>
    </row>
    <row r="22" spans="1:19" ht="15" customHeight="1">
      <c r="A22" s="327" t="s">
        <v>97</v>
      </c>
      <c r="B22" s="331">
        <v>83344</v>
      </c>
      <c r="C22" s="335" t="s">
        <v>51</v>
      </c>
      <c r="D22" s="127"/>
      <c r="E22" s="131"/>
      <c r="F22" s="332"/>
      <c r="G22" s="331" t="s">
        <v>91</v>
      </c>
      <c r="H22" s="366">
        <f>MEMÓRIA!H48</f>
        <v>60</v>
      </c>
      <c r="I22" s="338">
        <v>0.96</v>
      </c>
      <c r="J22" s="316">
        <f t="shared" si="0"/>
        <v>1.19</v>
      </c>
      <c r="K22" s="316">
        <f t="shared" si="1"/>
        <v>0.95</v>
      </c>
      <c r="L22" s="316">
        <f t="shared" si="3"/>
        <v>0.24</v>
      </c>
      <c r="M22" s="316">
        <f t="shared" si="5"/>
        <v>57</v>
      </c>
      <c r="N22" s="316">
        <f t="shared" si="4"/>
        <v>14.400000000000006</v>
      </c>
      <c r="O22" s="350">
        <f t="shared" si="2"/>
        <v>71.400000000000006</v>
      </c>
    </row>
    <row r="23" spans="1:19" s="36" customFormat="1" ht="15" customHeight="1">
      <c r="A23" s="327" t="s">
        <v>98</v>
      </c>
      <c r="B23" s="331" t="s">
        <v>244</v>
      </c>
      <c r="C23" s="335" t="s">
        <v>92</v>
      </c>
      <c r="D23" s="127"/>
      <c r="E23" s="131"/>
      <c r="F23" s="332"/>
      <c r="G23" s="331" t="s">
        <v>91</v>
      </c>
      <c r="H23" s="366">
        <f>MEMÓRIA!H51</f>
        <v>60</v>
      </c>
      <c r="I23" s="338">
        <v>103.88</v>
      </c>
      <c r="J23" s="316">
        <f t="shared" si="0"/>
        <v>128.84</v>
      </c>
      <c r="K23" s="316">
        <f t="shared" si="1"/>
        <v>103.07</v>
      </c>
      <c r="L23" s="316">
        <f t="shared" si="3"/>
        <v>25.77000000000001</v>
      </c>
      <c r="M23" s="316">
        <f t="shared" si="5"/>
        <v>6184.2</v>
      </c>
      <c r="N23" s="316">
        <f t="shared" si="4"/>
        <v>1546.1999999999998</v>
      </c>
      <c r="O23" s="350">
        <f t="shared" si="2"/>
        <v>7730.4</v>
      </c>
      <c r="Q23" s="77"/>
      <c r="R23" s="77"/>
      <c r="S23" s="77"/>
    </row>
    <row r="24" spans="1:19" ht="15" customHeight="1">
      <c r="A24" s="327" t="s">
        <v>146</v>
      </c>
      <c r="B24" s="331">
        <v>97915</v>
      </c>
      <c r="C24" s="335" t="s">
        <v>158</v>
      </c>
      <c r="D24" s="144" t="s">
        <v>2</v>
      </c>
      <c r="E24" s="145">
        <f>S4</f>
        <v>46.6</v>
      </c>
      <c r="F24" s="332" t="s">
        <v>1</v>
      </c>
      <c r="G24" s="331" t="s">
        <v>143</v>
      </c>
      <c r="H24" s="366">
        <f>MEMÓRIA!H55</f>
        <v>3215.4</v>
      </c>
      <c r="I24" s="338">
        <v>1.1100000000000001</v>
      </c>
      <c r="J24" s="316">
        <f t="shared" si="0"/>
        <v>1.38</v>
      </c>
      <c r="K24" s="316">
        <f t="shared" si="1"/>
        <v>1.1000000000000001</v>
      </c>
      <c r="L24" s="316">
        <f t="shared" si="3"/>
        <v>0.2799999999999998</v>
      </c>
      <c r="M24" s="316">
        <f t="shared" si="5"/>
        <v>3536.94</v>
      </c>
      <c r="N24" s="316">
        <f t="shared" si="4"/>
        <v>900.31</v>
      </c>
      <c r="O24" s="350">
        <f t="shared" si="2"/>
        <v>4437.25</v>
      </c>
    </row>
    <row r="25" spans="1:19" ht="15" customHeight="1">
      <c r="A25" s="353" t="s">
        <v>374</v>
      </c>
      <c r="B25" s="345">
        <v>72844</v>
      </c>
      <c r="C25" s="349" t="s">
        <v>373</v>
      </c>
      <c r="D25" s="348" t="s">
        <v>8</v>
      </c>
      <c r="E25" s="347" t="s">
        <v>8</v>
      </c>
      <c r="F25" s="346" t="s">
        <v>8</v>
      </c>
      <c r="G25" s="345" t="s">
        <v>69</v>
      </c>
      <c r="H25" s="341">
        <f>MEMÓRIA!H59</f>
        <v>102</v>
      </c>
      <c r="I25" s="343">
        <v>0.77</v>
      </c>
      <c r="J25" s="316">
        <f t="shared" si="0"/>
        <v>0.96</v>
      </c>
      <c r="K25" s="316">
        <f t="shared" ref="K25" si="6">ROUND(J25*0.8,2)</f>
        <v>0.77</v>
      </c>
      <c r="L25" s="316">
        <f t="shared" ref="L25" si="7">J25-K25</f>
        <v>0.18999999999999995</v>
      </c>
      <c r="M25" s="316">
        <f t="shared" ref="M25" si="8">ROUND(H25*K25,2)</f>
        <v>78.540000000000006</v>
      </c>
      <c r="N25" s="316">
        <f t="shared" ref="N25" si="9">O25-M25</f>
        <v>19.379999999999995</v>
      </c>
      <c r="O25" s="350">
        <f t="shared" si="2"/>
        <v>97.92</v>
      </c>
    </row>
    <row r="26" spans="1:19" ht="15" customHeight="1">
      <c r="A26" s="369" t="s">
        <v>52</v>
      </c>
      <c r="B26" s="368"/>
      <c r="C26" s="367" t="s">
        <v>93</v>
      </c>
      <c r="D26" s="144"/>
      <c r="E26" s="145"/>
      <c r="F26" s="332"/>
      <c r="G26" s="331"/>
      <c r="H26" s="366"/>
      <c r="I26" s="338"/>
      <c r="J26" s="316" t="s">
        <v>8</v>
      </c>
      <c r="K26" s="316" t="s">
        <v>8</v>
      </c>
      <c r="L26" s="316"/>
      <c r="M26" s="316"/>
      <c r="N26" s="316"/>
      <c r="O26" s="700" t="s">
        <v>8</v>
      </c>
    </row>
    <row r="27" spans="1:19" ht="15" customHeight="1">
      <c r="A27" s="327" t="s">
        <v>99</v>
      </c>
      <c r="B27" s="331">
        <v>83338</v>
      </c>
      <c r="C27" s="335" t="s">
        <v>375</v>
      </c>
      <c r="D27" s="127"/>
      <c r="E27" s="131"/>
      <c r="F27" s="332"/>
      <c r="G27" s="331" t="s">
        <v>91</v>
      </c>
      <c r="H27" s="366">
        <f>MEMÓRIA!H63</f>
        <v>3290.7999999999997</v>
      </c>
      <c r="I27" s="338">
        <v>2.52</v>
      </c>
      <c r="J27" s="316">
        <f t="shared" si="0"/>
        <v>3.13</v>
      </c>
      <c r="K27" s="316">
        <f t="shared" si="1"/>
        <v>2.5</v>
      </c>
      <c r="L27" s="316">
        <f t="shared" si="3"/>
        <v>0.62999999999999989</v>
      </c>
      <c r="M27" s="316">
        <f>ROUND(H27*K27,2)</f>
        <v>8227</v>
      </c>
      <c r="N27" s="316">
        <f t="shared" si="4"/>
        <v>2073.2000000000007</v>
      </c>
      <c r="O27" s="350">
        <f t="shared" si="2"/>
        <v>10300.200000000001</v>
      </c>
    </row>
    <row r="28" spans="1:19" ht="15" customHeight="1">
      <c r="A28" s="327" t="s">
        <v>106</v>
      </c>
      <c r="B28" s="35" t="s">
        <v>458</v>
      </c>
      <c r="C28" s="67" t="s">
        <v>418</v>
      </c>
      <c r="D28" s="156"/>
      <c r="E28" s="157"/>
      <c r="F28" s="332"/>
      <c r="G28" s="331" t="s">
        <v>91</v>
      </c>
      <c r="H28" s="366">
        <f>MEMÓRIA!H66</f>
        <v>173.20000000000027</v>
      </c>
      <c r="I28" s="338">
        <v>106.83</v>
      </c>
      <c r="J28" s="316">
        <f t="shared" si="0"/>
        <v>132.5</v>
      </c>
      <c r="K28" s="316">
        <f t="shared" ref="K28:K33" si="10">ROUND(J28*0.8,2)</f>
        <v>106</v>
      </c>
      <c r="L28" s="316">
        <f t="shared" ref="L28:L33" si="11">J28-K28</f>
        <v>26.5</v>
      </c>
      <c r="M28" s="316">
        <f t="shared" ref="M28:M33" si="12">ROUND(H28*K28,2)</f>
        <v>18359.2</v>
      </c>
      <c r="N28" s="316">
        <f t="shared" ref="N28:N33" si="13">O28-M28</f>
        <v>4589.7999999999993</v>
      </c>
      <c r="O28" s="350">
        <f t="shared" si="2"/>
        <v>22949</v>
      </c>
    </row>
    <row r="29" spans="1:19" s="312" customFormat="1" ht="15" customHeight="1">
      <c r="A29" s="327" t="s">
        <v>107</v>
      </c>
      <c r="B29" s="345">
        <v>72888</v>
      </c>
      <c r="C29" s="349" t="s">
        <v>144</v>
      </c>
      <c r="D29" s="348" t="s">
        <v>8</v>
      </c>
      <c r="E29" s="347" t="s">
        <v>8</v>
      </c>
      <c r="F29" s="346" t="s">
        <v>8</v>
      </c>
      <c r="G29" s="345" t="s">
        <v>91</v>
      </c>
      <c r="H29" s="341">
        <f>MEMÓRIA!H78</f>
        <v>4169.7000000000007</v>
      </c>
      <c r="I29" s="343">
        <v>1.1399999999999999</v>
      </c>
      <c r="J29" s="344">
        <v>0.93</v>
      </c>
      <c r="K29" s="316">
        <f t="shared" si="10"/>
        <v>0.74</v>
      </c>
      <c r="L29" s="316">
        <f t="shared" si="11"/>
        <v>0.19000000000000006</v>
      </c>
      <c r="M29" s="316">
        <f t="shared" si="12"/>
        <v>3085.58</v>
      </c>
      <c r="N29" s="316">
        <f t="shared" si="13"/>
        <v>792.24000000000024</v>
      </c>
      <c r="O29" s="350">
        <f t="shared" si="2"/>
        <v>3877.82</v>
      </c>
      <c r="Q29" s="313"/>
      <c r="R29" s="313"/>
      <c r="S29" s="313"/>
    </row>
    <row r="30" spans="1:19" ht="15" customHeight="1">
      <c r="A30" s="327" t="s">
        <v>108</v>
      </c>
      <c r="B30" s="331">
        <v>93589</v>
      </c>
      <c r="C30" s="335" t="str">
        <f>C21</f>
        <v>Transporte comercial - bota-fora</v>
      </c>
      <c r="D30" s="144" t="s">
        <v>2</v>
      </c>
      <c r="E30" s="145">
        <f>E16</f>
        <v>13.1</v>
      </c>
      <c r="F30" s="332" t="s">
        <v>1</v>
      </c>
      <c r="G30" s="331" t="s">
        <v>143</v>
      </c>
      <c r="H30" s="366">
        <f>MEMÓRIA!H74</f>
        <v>54623.070000000007</v>
      </c>
      <c r="I30" s="338">
        <v>1.18</v>
      </c>
      <c r="J30" s="316">
        <f t="shared" si="0"/>
        <v>1.46</v>
      </c>
      <c r="K30" s="316">
        <f t="shared" si="10"/>
        <v>1.17</v>
      </c>
      <c r="L30" s="316">
        <f t="shared" si="11"/>
        <v>0.29000000000000004</v>
      </c>
      <c r="M30" s="316">
        <f t="shared" si="12"/>
        <v>63908.99</v>
      </c>
      <c r="N30" s="316">
        <f t="shared" si="13"/>
        <v>15840.689999999995</v>
      </c>
      <c r="O30" s="350">
        <f t="shared" si="2"/>
        <v>79749.679999999993</v>
      </c>
    </row>
    <row r="31" spans="1:19" ht="15" customHeight="1">
      <c r="A31" s="327" t="s">
        <v>248</v>
      </c>
      <c r="B31" s="331">
        <v>83344</v>
      </c>
      <c r="C31" s="335" t="s">
        <v>51</v>
      </c>
      <c r="D31" s="127"/>
      <c r="E31" s="131"/>
      <c r="F31" s="332"/>
      <c r="G31" s="331" t="s">
        <v>91</v>
      </c>
      <c r="H31" s="366">
        <f>MEMÓRIA!H78</f>
        <v>4169.7000000000007</v>
      </c>
      <c r="I31" s="338">
        <v>0.96</v>
      </c>
      <c r="J31" s="316">
        <f t="shared" si="0"/>
        <v>1.19</v>
      </c>
      <c r="K31" s="316">
        <f t="shared" si="10"/>
        <v>0.95</v>
      </c>
      <c r="L31" s="316">
        <f t="shared" si="11"/>
        <v>0.24</v>
      </c>
      <c r="M31" s="316">
        <f t="shared" si="12"/>
        <v>3961.22</v>
      </c>
      <c r="N31" s="316">
        <f t="shared" si="13"/>
        <v>1000.7199999999998</v>
      </c>
      <c r="O31" s="350">
        <f t="shared" si="2"/>
        <v>4961.9399999999996</v>
      </c>
    </row>
    <row r="32" spans="1:19" s="312" customFormat="1" ht="15" customHeight="1">
      <c r="A32" s="327" t="s">
        <v>382</v>
      </c>
      <c r="B32" s="331">
        <v>41722</v>
      </c>
      <c r="C32" s="335" t="s">
        <v>105</v>
      </c>
      <c r="D32" s="127"/>
      <c r="E32" s="131"/>
      <c r="F32" s="332"/>
      <c r="G32" s="331" t="s">
        <v>91</v>
      </c>
      <c r="H32" s="366">
        <f>MEMÓRIA!H81</f>
        <v>117</v>
      </c>
      <c r="I32" s="338">
        <v>4.54</v>
      </c>
      <c r="J32" s="316">
        <f t="shared" ref="J32" si="14">ROUND(I32*(1+$O$7),2)</f>
        <v>5.63</v>
      </c>
      <c r="K32" s="316">
        <f t="shared" si="10"/>
        <v>4.5</v>
      </c>
      <c r="L32" s="316">
        <f t="shared" si="11"/>
        <v>1.1299999999999999</v>
      </c>
      <c r="M32" s="316">
        <f t="shared" si="12"/>
        <v>526.5</v>
      </c>
      <c r="N32" s="316">
        <f t="shared" si="13"/>
        <v>132.21000000000004</v>
      </c>
      <c r="O32" s="350">
        <f t="shared" si="2"/>
        <v>658.71</v>
      </c>
      <c r="Q32" s="313"/>
      <c r="R32" s="313"/>
      <c r="S32" s="313"/>
    </row>
    <row r="33" spans="1:15" ht="15" customHeight="1" thickBot="1">
      <c r="A33" s="326" t="s">
        <v>459</v>
      </c>
      <c r="B33" s="331">
        <v>98504</v>
      </c>
      <c r="C33" s="67" t="s">
        <v>489</v>
      </c>
      <c r="D33" s="127"/>
      <c r="E33" s="131"/>
      <c r="F33" s="332"/>
      <c r="G33" s="35" t="s">
        <v>90</v>
      </c>
      <c r="H33" s="561">
        <f>MEMÓRIA!H88</f>
        <v>540</v>
      </c>
      <c r="I33" s="338">
        <v>13.84</v>
      </c>
      <c r="J33" s="316">
        <f t="shared" si="0"/>
        <v>17.170000000000002</v>
      </c>
      <c r="K33" s="316">
        <f t="shared" si="10"/>
        <v>13.74</v>
      </c>
      <c r="L33" s="316">
        <f t="shared" si="11"/>
        <v>3.4300000000000015</v>
      </c>
      <c r="M33" s="316">
        <f t="shared" si="12"/>
        <v>7419.6</v>
      </c>
      <c r="N33" s="316">
        <f t="shared" si="13"/>
        <v>1852.1999999999989</v>
      </c>
      <c r="O33" s="350">
        <f t="shared" si="2"/>
        <v>9271.7999999999993</v>
      </c>
    </row>
    <row r="34" spans="1:15" ht="15" customHeight="1" thickBot="1">
      <c r="A34" s="837" t="s">
        <v>50</v>
      </c>
      <c r="B34" s="838"/>
      <c r="C34" s="838"/>
      <c r="D34" s="838"/>
      <c r="E34" s="838"/>
      <c r="F34" s="838"/>
      <c r="G34" s="838"/>
      <c r="H34" s="838"/>
      <c r="I34" s="838"/>
      <c r="J34" s="838"/>
      <c r="K34" s="838"/>
      <c r="L34" s="838"/>
      <c r="M34" s="40">
        <f>SUM(M13:M33)</f>
        <v>126118.71</v>
      </c>
      <c r="N34" s="42">
        <f>SUM(N13:N33)</f>
        <v>31432.679999999993</v>
      </c>
      <c r="O34" s="41">
        <f>SUM(O13:O33)</f>
        <v>157551.38999999998</v>
      </c>
    </row>
    <row r="35" spans="1:15" ht="15" customHeight="1" thickBot="1">
      <c r="A35" s="21" t="s">
        <v>76</v>
      </c>
      <c r="B35" s="20"/>
      <c r="C35" s="19" t="s">
        <v>49</v>
      </c>
      <c r="D35" s="19"/>
      <c r="E35" s="129"/>
      <c r="F35" s="19"/>
      <c r="G35" s="18"/>
      <c r="H35" s="18"/>
      <c r="I35" s="18"/>
      <c r="J35" s="18"/>
      <c r="K35" s="18"/>
      <c r="L35" s="18"/>
      <c r="M35" s="18"/>
      <c r="N35" s="18"/>
      <c r="O35" s="16"/>
    </row>
    <row r="36" spans="1:15" ht="15" customHeight="1">
      <c r="A36" s="365" t="s">
        <v>48</v>
      </c>
      <c r="B36" s="364">
        <v>72961</v>
      </c>
      <c r="C36" s="363" t="s">
        <v>47</v>
      </c>
      <c r="D36" s="362"/>
      <c r="E36" s="361"/>
      <c r="F36" s="360"/>
      <c r="G36" s="364" t="s">
        <v>90</v>
      </c>
      <c r="H36" s="359">
        <f>MEMÓRIA!H95</f>
        <v>8045.3</v>
      </c>
      <c r="I36" s="344">
        <v>1.31</v>
      </c>
      <c r="J36" s="344">
        <f t="shared" ref="J36:J46" si="15">ROUND(I36*(1+$O$7),2)</f>
        <v>1.62</v>
      </c>
      <c r="K36" s="344">
        <f>ROUND(J36*0.8,2)</f>
        <v>1.3</v>
      </c>
      <c r="L36" s="344">
        <f>J36-K36</f>
        <v>0.32000000000000006</v>
      </c>
      <c r="M36" s="324">
        <f>ROUND(H36*K36,2)</f>
        <v>10458.89</v>
      </c>
      <c r="N36" s="324">
        <f>O36-M36</f>
        <v>2574.5</v>
      </c>
      <c r="O36" s="315">
        <f>ROUND(H36*J36,2)</f>
        <v>13033.39</v>
      </c>
    </row>
    <row r="37" spans="1:15" s="373" customFormat="1" ht="15" customHeight="1">
      <c r="A37" s="353" t="s">
        <v>46</v>
      </c>
      <c r="B37" s="342">
        <v>96399</v>
      </c>
      <c r="C37" s="357" t="s">
        <v>376</v>
      </c>
      <c r="D37" s="356"/>
      <c r="E37" s="355"/>
      <c r="F37" s="354"/>
      <c r="G37" s="587" t="s">
        <v>91</v>
      </c>
      <c r="H37" s="341">
        <f>MEMÓRIA!H101</f>
        <v>1573.06</v>
      </c>
      <c r="I37" s="338">
        <v>71.7</v>
      </c>
      <c r="J37" s="338">
        <f>ROUND(I37*(1+$O$7),2)</f>
        <v>88.93</v>
      </c>
      <c r="K37" s="338">
        <f>ROUND(J37*0.8,2)</f>
        <v>71.14</v>
      </c>
      <c r="L37" s="338">
        <f>J37-K37</f>
        <v>17.790000000000006</v>
      </c>
      <c r="M37" s="316">
        <f>ROUND(H37*K37,2)</f>
        <v>111907.49</v>
      </c>
      <c r="N37" s="316">
        <f>O37-M37</f>
        <v>27984.740000000005</v>
      </c>
      <c r="O37" s="315">
        <f t="shared" ref="O37:O47" si="16">ROUND(H37*J37,2)</f>
        <v>139892.23000000001</v>
      </c>
    </row>
    <row r="38" spans="1:15" s="373" customFormat="1" ht="15" customHeight="1">
      <c r="A38" s="353" t="s">
        <v>45</v>
      </c>
      <c r="B38" s="342">
        <v>97915</v>
      </c>
      <c r="C38" s="340" t="s">
        <v>377</v>
      </c>
      <c r="D38" s="334" t="s">
        <v>2</v>
      </c>
      <c r="E38" s="333">
        <f>S4</f>
        <v>46.6</v>
      </c>
      <c r="F38" s="332" t="s">
        <v>1</v>
      </c>
      <c r="G38" s="35" t="s">
        <v>143</v>
      </c>
      <c r="H38" s="341">
        <f>MEMÓRIA!H105</f>
        <v>84300.285399999993</v>
      </c>
      <c r="I38" s="338">
        <v>1.1100000000000001</v>
      </c>
      <c r="J38" s="338">
        <f>ROUND(I38*(1+$O$7),2)</f>
        <v>1.38</v>
      </c>
      <c r="K38" s="338">
        <f>ROUND(J38*0.8,2)</f>
        <v>1.1000000000000001</v>
      </c>
      <c r="L38" s="338">
        <f>J38-K38</f>
        <v>0.2799999999999998</v>
      </c>
      <c r="M38" s="316">
        <f>ROUND(H38*K38,2)</f>
        <v>92730.31</v>
      </c>
      <c r="N38" s="316">
        <f>O38-M38</f>
        <v>23604.080000000002</v>
      </c>
      <c r="O38" s="315">
        <f t="shared" si="16"/>
        <v>116334.39</v>
      </c>
    </row>
    <row r="39" spans="1:15" s="373" customFormat="1" ht="15" customHeight="1">
      <c r="A39" s="353" t="s">
        <v>44</v>
      </c>
      <c r="B39" s="331">
        <v>72844</v>
      </c>
      <c r="C39" s="352" t="s">
        <v>373</v>
      </c>
      <c r="D39" s="334" t="s">
        <v>8</v>
      </c>
      <c r="E39" s="333" t="s">
        <v>8</v>
      </c>
      <c r="F39" s="351" t="s">
        <v>8</v>
      </c>
      <c r="G39" s="331" t="s">
        <v>69</v>
      </c>
      <c r="H39" s="341">
        <f>MEMÓRIA!H109</f>
        <v>2674.2019999999998</v>
      </c>
      <c r="I39" s="338">
        <v>0.77</v>
      </c>
      <c r="J39" s="338">
        <f>ROUND(I39*(1+$O$7),2)</f>
        <v>0.96</v>
      </c>
      <c r="K39" s="338">
        <f>ROUND(J39*0.8,2)</f>
        <v>0.77</v>
      </c>
      <c r="L39" s="338">
        <f>J39-K39</f>
        <v>0.18999999999999995</v>
      </c>
      <c r="M39" s="316">
        <f>ROUND(H39*K39,2)</f>
        <v>2059.14</v>
      </c>
      <c r="N39" s="316">
        <f>O39-M39</f>
        <v>508.09000000000015</v>
      </c>
      <c r="O39" s="315">
        <f t="shared" si="16"/>
        <v>2567.23</v>
      </c>
    </row>
    <row r="40" spans="1:15" ht="15" customHeight="1">
      <c r="A40" s="353" t="s">
        <v>43</v>
      </c>
      <c r="B40" s="342">
        <v>96396</v>
      </c>
      <c r="C40" s="357" t="s">
        <v>110</v>
      </c>
      <c r="D40" s="356"/>
      <c r="E40" s="355"/>
      <c r="F40" s="354"/>
      <c r="G40" s="342" t="s">
        <v>91</v>
      </c>
      <c r="H40" s="341">
        <f>MEMÓRIA!H109</f>
        <v>2674.2019999999998</v>
      </c>
      <c r="I40" s="338">
        <v>87.77</v>
      </c>
      <c r="J40" s="338">
        <f t="shared" si="15"/>
        <v>108.86</v>
      </c>
      <c r="K40" s="338">
        <f t="shared" ref="K40:K45" si="17">ROUND(J40*0.8,2)</f>
        <v>87.09</v>
      </c>
      <c r="L40" s="338">
        <f t="shared" ref="L40:L45" si="18">J40-K40</f>
        <v>21.769999999999996</v>
      </c>
      <c r="M40" s="316">
        <f t="shared" ref="M40:M46" si="19">ROUND(H40*K40,2)</f>
        <v>232896.25</v>
      </c>
      <c r="N40" s="316">
        <f t="shared" ref="N40:N46" si="20">O40-M40</f>
        <v>58217.380000000005</v>
      </c>
      <c r="O40" s="315">
        <f t="shared" si="16"/>
        <v>291113.63</v>
      </c>
    </row>
    <row r="41" spans="1:15" ht="15" customHeight="1">
      <c r="A41" s="353" t="s">
        <v>42</v>
      </c>
      <c r="B41" s="342">
        <v>83356</v>
      </c>
      <c r="C41" s="340" t="s">
        <v>157</v>
      </c>
      <c r="D41" s="334" t="s">
        <v>2</v>
      </c>
      <c r="E41" s="333">
        <f>S4</f>
        <v>46.6</v>
      </c>
      <c r="F41" s="332" t="s">
        <v>1</v>
      </c>
      <c r="G41" s="35" t="s">
        <v>143</v>
      </c>
      <c r="H41" s="341">
        <f>MEMÓRIA!H119</f>
        <v>102126.11816000001</v>
      </c>
      <c r="I41" s="338">
        <v>0.78</v>
      </c>
      <c r="J41" s="338">
        <f t="shared" si="15"/>
        <v>0.97</v>
      </c>
      <c r="K41" s="338">
        <f t="shared" si="17"/>
        <v>0.78</v>
      </c>
      <c r="L41" s="338">
        <f t="shared" si="18"/>
        <v>0.18999999999999995</v>
      </c>
      <c r="M41" s="316">
        <f t="shared" si="19"/>
        <v>79658.37</v>
      </c>
      <c r="N41" s="316">
        <f t="shared" si="20"/>
        <v>19403.960000000006</v>
      </c>
      <c r="O41" s="315">
        <f t="shared" si="16"/>
        <v>99062.33</v>
      </c>
    </row>
    <row r="42" spans="1:15" s="373" customFormat="1" ht="15" customHeight="1">
      <c r="A42" s="353" t="s">
        <v>41</v>
      </c>
      <c r="B42" s="331">
        <v>72848</v>
      </c>
      <c r="C42" s="352" t="s">
        <v>378</v>
      </c>
      <c r="D42" s="334" t="s">
        <v>8</v>
      </c>
      <c r="E42" s="333" t="s">
        <v>8</v>
      </c>
      <c r="F42" s="351" t="s">
        <v>8</v>
      </c>
      <c r="G42" s="331" t="s">
        <v>69</v>
      </c>
      <c r="H42" s="341">
        <f>MEMÓRIA!H123</f>
        <v>2251.59</v>
      </c>
      <c r="I42" s="338">
        <v>2.0499999999999998</v>
      </c>
      <c r="J42" s="338">
        <f>ROUND(I42*(1+$O$7),2)</f>
        <v>2.54</v>
      </c>
      <c r="K42" s="338">
        <f>ROUND(J42*0.8,2)</f>
        <v>2.0299999999999998</v>
      </c>
      <c r="L42" s="338">
        <f>J42-K42</f>
        <v>0.51000000000000023</v>
      </c>
      <c r="M42" s="316">
        <f>ROUND(H42*K42,2)</f>
        <v>4570.7299999999996</v>
      </c>
      <c r="N42" s="316">
        <f>O42-M42</f>
        <v>1148.3100000000004</v>
      </c>
      <c r="O42" s="315">
        <f t="shared" si="16"/>
        <v>5719.04</v>
      </c>
    </row>
    <row r="43" spans="1:15" ht="15" customHeight="1">
      <c r="A43" s="353" t="s">
        <v>40</v>
      </c>
      <c r="B43" s="342">
        <v>96401</v>
      </c>
      <c r="C43" s="356" t="s">
        <v>4</v>
      </c>
      <c r="D43" s="356"/>
      <c r="E43" s="358"/>
      <c r="F43" s="354"/>
      <c r="G43" s="342" t="s">
        <v>90</v>
      </c>
      <c r="H43" s="341">
        <f>MEMÓRIA!H129</f>
        <v>7235.3</v>
      </c>
      <c r="I43" s="338">
        <v>6.01</v>
      </c>
      <c r="J43" s="338">
        <f t="shared" si="15"/>
        <v>7.45</v>
      </c>
      <c r="K43" s="338">
        <f t="shared" si="17"/>
        <v>5.96</v>
      </c>
      <c r="L43" s="338">
        <f t="shared" si="18"/>
        <v>1.4900000000000002</v>
      </c>
      <c r="M43" s="316">
        <f t="shared" si="19"/>
        <v>43122.39</v>
      </c>
      <c r="N43" s="316">
        <f t="shared" si="20"/>
        <v>10780.599999999999</v>
      </c>
      <c r="O43" s="315">
        <f t="shared" si="16"/>
        <v>53902.99</v>
      </c>
    </row>
    <row r="44" spans="1:15" ht="15" customHeight="1">
      <c r="A44" s="353" t="s">
        <v>70</v>
      </c>
      <c r="B44" s="342">
        <v>72943</v>
      </c>
      <c r="C44" s="357" t="s">
        <v>379</v>
      </c>
      <c r="D44" s="356"/>
      <c r="E44" s="358"/>
      <c r="F44" s="354"/>
      <c r="G44" s="342" t="s">
        <v>90</v>
      </c>
      <c r="H44" s="341">
        <f>MEMÓRIA!H135</f>
        <v>7235.3</v>
      </c>
      <c r="I44" s="338">
        <v>1.73</v>
      </c>
      <c r="J44" s="338">
        <f t="shared" si="15"/>
        <v>2.15</v>
      </c>
      <c r="K44" s="338">
        <f t="shared" si="17"/>
        <v>1.72</v>
      </c>
      <c r="L44" s="338">
        <f t="shared" si="18"/>
        <v>0.42999999999999994</v>
      </c>
      <c r="M44" s="316">
        <f t="shared" si="19"/>
        <v>12444.72</v>
      </c>
      <c r="N44" s="316">
        <f t="shared" si="20"/>
        <v>3111.1800000000003</v>
      </c>
      <c r="O44" s="315">
        <f t="shared" si="16"/>
        <v>15555.9</v>
      </c>
    </row>
    <row r="45" spans="1:15" ht="15" customHeight="1">
      <c r="A45" s="353" t="s">
        <v>211</v>
      </c>
      <c r="B45" s="587" t="s">
        <v>638</v>
      </c>
      <c r="C45" s="357" t="s">
        <v>380</v>
      </c>
      <c r="D45" s="356"/>
      <c r="E45" s="355"/>
      <c r="F45" s="354"/>
      <c r="G45" s="342" t="s">
        <v>91</v>
      </c>
      <c r="H45" s="341">
        <f>MEMÓRIA!H141</f>
        <v>360</v>
      </c>
      <c r="I45" s="338">
        <f>COMP.01!H32</f>
        <v>744.88730500000008</v>
      </c>
      <c r="J45" s="338">
        <f t="shared" si="15"/>
        <v>923.88</v>
      </c>
      <c r="K45" s="338">
        <f t="shared" si="17"/>
        <v>739.1</v>
      </c>
      <c r="L45" s="338">
        <f t="shared" si="18"/>
        <v>184.77999999999997</v>
      </c>
      <c r="M45" s="316">
        <f t="shared" si="19"/>
        <v>266076</v>
      </c>
      <c r="N45" s="316">
        <f t="shared" si="20"/>
        <v>66520.799999999988</v>
      </c>
      <c r="O45" s="315">
        <f t="shared" si="16"/>
        <v>332596.8</v>
      </c>
    </row>
    <row r="46" spans="1:15" ht="15" customHeight="1">
      <c r="A46" s="353" t="s">
        <v>247</v>
      </c>
      <c r="B46" s="331">
        <v>95303</v>
      </c>
      <c r="C46" s="352" t="s">
        <v>3</v>
      </c>
      <c r="D46" s="334" t="s">
        <v>2</v>
      </c>
      <c r="E46" s="333">
        <f>S4</f>
        <v>46.6</v>
      </c>
      <c r="F46" s="351" t="s">
        <v>1</v>
      </c>
      <c r="G46" s="331" t="s">
        <v>155</v>
      </c>
      <c r="H46" s="341">
        <f>MEMÓRIA!H146</f>
        <v>21915.723699999999</v>
      </c>
      <c r="I46" s="338">
        <v>1</v>
      </c>
      <c r="J46" s="338">
        <f t="shared" si="15"/>
        <v>1.24</v>
      </c>
      <c r="K46" s="338">
        <f t="shared" ref="K46:K47" si="21">ROUND(J46*0.8,2)</f>
        <v>0.99</v>
      </c>
      <c r="L46" s="338">
        <f t="shared" ref="L46:L47" si="22">J46-K46</f>
        <v>0.25</v>
      </c>
      <c r="M46" s="316">
        <f t="shared" si="19"/>
        <v>21696.57</v>
      </c>
      <c r="N46" s="316">
        <f t="shared" si="20"/>
        <v>5478.93</v>
      </c>
      <c r="O46" s="315">
        <f t="shared" si="16"/>
        <v>27175.5</v>
      </c>
    </row>
    <row r="47" spans="1:15" s="312" customFormat="1" ht="15" customHeight="1" thickBot="1">
      <c r="A47" s="353" t="s">
        <v>381</v>
      </c>
      <c r="B47" s="331">
        <v>72846</v>
      </c>
      <c r="C47" s="352" t="s">
        <v>245</v>
      </c>
      <c r="D47" s="334" t="s">
        <v>8</v>
      </c>
      <c r="E47" s="333" t="s">
        <v>8</v>
      </c>
      <c r="F47" s="351" t="s">
        <v>8</v>
      </c>
      <c r="G47" s="331" t="s">
        <v>69</v>
      </c>
      <c r="H47" s="560">
        <f>MEMÓRIA!H150</f>
        <v>868.23599999999999</v>
      </c>
      <c r="I47" s="338">
        <v>3.8</v>
      </c>
      <c r="J47" s="338">
        <f t="shared" ref="J47" si="23">ROUND(I47*(1+$O$7),2)</f>
        <v>4.71</v>
      </c>
      <c r="K47" s="338">
        <f t="shared" si="21"/>
        <v>3.77</v>
      </c>
      <c r="L47" s="338">
        <f t="shared" si="22"/>
        <v>0.94</v>
      </c>
      <c r="M47" s="316">
        <f t="shared" ref="M47" si="24">ROUND(H47*K47,2)</f>
        <v>3273.25</v>
      </c>
      <c r="N47" s="316">
        <f t="shared" ref="N47" si="25">O47-M47</f>
        <v>816.13999999999987</v>
      </c>
      <c r="O47" s="315">
        <f t="shared" si="16"/>
        <v>4089.39</v>
      </c>
    </row>
    <row r="48" spans="1:15" ht="15" customHeight="1" thickBot="1">
      <c r="A48" s="830" t="s">
        <v>109</v>
      </c>
      <c r="B48" s="831"/>
      <c r="C48" s="831"/>
      <c r="D48" s="831"/>
      <c r="E48" s="831"/>
      <c r="F48" s="831"/>
      <c r="G48" s="831"/>
      <c r="H48" s="831"/>
      <c r="I48" s="831"/>
      <c r="J48" s="831"/>
      <c r="K48" s="831"/>
      <c r="L48" s="831"/>
      <c r="M48" s="232">
        <f>SUM(M36:M47)</f>
        <v>880894.10999999987</v>
      </c>
      <c r="N48" s="232">
        <f>SUM(N36:N47)</f>
        <v>220148.71</v>
      </c>
      <c r="O48" s="233">
        <f>SUM(O36:O47)</f>
        <v>1101042.8199999998</v>
      </c>
    </row>
    <row r="49" spans="1:19" ht="15" customHeight="1" thickBot="1">
      <c r="A49" s="21" t="s">
        <v>78</v>
      </c>
      <c r="B49" s="20"/>
      <c r="C49" s="19" t="s">
        <v>38</v>
      </c>
      <c r="D49" s="19"/>
      <c r="E49" s="129"/>
      <c r="F49" s="19"/>
      <c r="G49" s="18"/>
      <c r="H49" s="18"/>
      <c r="I49" s="17"/>
      <c r="J49" s="17"/>
      <c r="K49" s="17"/>
      <c r="L49" s="17"/>
      <c r="M49" s="17"/>
      <c r="N49" s="17"/>
      <c r="O49" s="26"/>
    </row>
    <row r="50" spans="1:19" ht="15" customHeight="1">
      <c r="A50" s="28" t="s">
        <v>37</v>
      </c>
      <c r="B50" s="43">
        <v>90101</v>
      </c>
      <c r="C50" s="44" t="s">
        <v>36</v>
      </c>
      <c r="D50" s="588"/>
      <c r="E50" s="589"/>
      <c r="F50" s="45"/>
      <c r="G50" s="303" t="s">
        <v>91</v>
      </c>
      <c r="H50" s="117">
        <f>MEMÓRIA!H160</f>
        <v>172.57500000000002</v>
      </c>
      <c r="I50" s="324">
        <v>9.76</v>
      </c>
      <c r="J50" s="324">
        <f t="shared" ref="J50" si="26">ROUND(I50*(1+$O$7),2)</f>
        <v>12.11</v>
      </c>
      <c r="K50" s="324">
        <f>ROUND(J50*0.8,2)</f>
        <v>9.69</v>
      </c>
      <c r="L50" s="324">
        <f>J50-K50</f>
        <v>2.42</v>
      </c>
      <c r="M50" s="324">
        <f>ROUND(H50*K50,2)</f>
        <v>1672.25</v>
      </c>
      <c r="N50" s="324">
        <f>O50-M50</f>
        <v>417.63000000000011</v>
      </c>
      <c r="O50" s="315">
        <f>ROUND(H50*J50,2)</f>
        <v>2089.88</v>
      </c>
    </row>
    <row r="51" spans="1:19" ht="15" customHeight="1">
      <c r="A51" s="318" t="s">
        <v>35</v>
      </c>
      <c r="B51" s="326" t="s">
        <v>383</v>
      </c>
      <c r="C51" s="371" t="s">
        <v>384</v>
      </c>
      <c r="D51" s="340"/>
      <c r="E51" s="339"/>
      <c r="F51" s="329"/>
      <c r="G51" s="336" t="s">
        <v>91</v>
      </c>
      <c r="H51" s="323">
        <f>MEMÓRIA!H161</f>
        <v>19.174999999999983</v>
      </c>
      <c r="I51" s="316">
        <v>320.89999999999998</v>
      </c>
      <c r="J51" s="316">
        <f t="shared" ref="J51:J59" si="27">ROUND(I51*(1+$O$7),2)</f>
        <v>398.01</v>
      </c>
      <c r="K51" s="316">
        <f>ROUND(J51*0.8,2)</f>
        <v>318.41000000000003</v>
      </c>
      <c r="L51" s="316">
        <f>J51-K51</f>
        <v>79.599999999999966</v>
      </c>
      <c r="M51" s="316">
        <f t="shared" ref="M51:M59" si="28">ROUND(H51*K51,2)</f>
        <v>6105.51</v>
      </c>
      <c r="N51" s="316">
        <f t="shared" ref="N51:N59" si="29">O51-M51</f>
        <v>1526.33</v>
      </c>
      <c r="O51" s="350">
        <f>ROUND(H51*J51,2)</f>
        <v>7631.84</v>
      </c>
    </row>
    <row r="52" spans="1:19" ht="15" customHeight="1">
      <c r="A52" s="318" t="s">
        <v>34</v>
      </c>
      <c r="B52" s="326">
        <v>94112</v>
      </c>
      <c r="C52" s="371" t="s">
        <v>252</v>
      </c>
      <c r="D52" s="340"/>
      <c r="E52" s="339"/>
      <c r="F52" s="329"/>
      <c r="G52" s="318" t="s">
        <v>91</v>
      </c>
      <c r="H52" s="323">
        <f>MEMÓRIA!H167</f>
        <v>6.8950000000000005</v>
      </c>
      <c r="I52" s="316">
        <v>157.80000000000001</v>
      </c>
      <c r="J52" s="316">
        <f t="shared" si="27"/>
        <v>195.72</v>
      </c>
      <c r="K52" s="316">
        <f t="shared" ref="K52:K53" si="30">ROUND(J52*0.8,2)</f>
        <v>156.58000000000001</v>
      </c>
      <c r="L52" s="316">
        <f t="shared" ref="L52:L53" si="31">J52-K52</f>
        <v>39.139999999999986</v>
      </c>
      <c r="M52" s="316">
        <f t="shared" si="28"/>
        <v>1079.6199999999999</v>
      </c>
      <c r="N52" s="316">
        <f t="shared" si="29"/>
        <v>269.87000000000012</v>
      </c>
      <c r="O52" s="350">
        <f t="shared" ref="O52:O58" si="32">ROUND(H52*J52,2)</f>
        <v>1349.49</v>
      </c>
    </row>
    <row r="53" spans="1:19" s="312" customFormat="1" ht="15" customHeight="1">
      <c r="A53" s="318" t="s">
        <v>33</v>
      </c>
      <c r="B53" s="342">
        <v>83356</v>
      </c>
      <c r="C53" s="220" t="s">
        <v>156</v>
      </c>
      <c r="D53" s="334" t="s">
        <v>2</v>
      </c>
      <c r="E53" s="333">
        <f>S4</f>
        <v>46.6</v>
      </c>
      <c r="F53" s="332" t="s">
        <v>1</v>
      </c>
      <c r="G53" s="35" t="s">
        <v>143</v>
      </c>
      <c r="H53" s="167">
        <f>MEMÓRIA!H170</f>
        <v>469.10822000000007</v>
      </c>
      <c r="I53" s="338">
        <v>0.78</v>
      </c>
      <c r="J53" s="316">
        <f t="shared" si="27"/>
        <v>0.97</v>
      </c>
      <c r="K53" s="316">
        <f t="shared" si="30"/>
        <v>0.78</v>
      </c>
      <c r="L53" s="316">
        <f t="shared" si="31"/>
        <v>0.18999999999999995</v>
      </c>
      <c r="M53" s="316">
        <f t="shared" si="28"/>
        <v>365.9</v>
      </c>
      <c r="N53" s="316">
        <f t="shared" si="29"/>
        <v>89.13</v>
      </c>
      <c r="O53" s="350">
        <f t="shared" si="32"/>
        <v>455.03</v>
      </c>
      <c r="Q53" s="313"/>
      <c r="R53" s="313"/>
      <c r="S53" s="313"/>
    </row>
    <row r="54" spans="1:19" s="25" customFormat="1" ht="15" customHeight="1">
      <c r="A54" s="318" t="s">
        <v>32</v>
      </c>
      <c r="B54" s="331">
        <v>7762</v>
      </c>
      <c r="C54" s="67" t="s">
        <v>246</v>
      </c>
      <c r="D54" s="340"/>
      <c r="E54" s="339"/>
      <c r="F54" s="332"/>
      <c r="G54" s="331" t="s">
        <v>16</v>
      </c>
      <c r="H54" s="116">
        <f>MEMÓRIA!H174</f>
        <v>60</v>
      </c>
      <c r="I54" s="338">
        <v>91.16</v>
      </c>
      <c r="J54" s="316">
        <f t="shared" si="27"/>
        <v>113.07</v>
      </c>
      <c r="K54" s="338">
        <f t="shared" ref="K54:K58" si="33">ROUND(J54*0.8,2)</f>
        <v>90.46</v>
      </c>
      <c r="L54" s="338">
        <f t="shared" ref="L54:L58" si="34">J54-K54</f>
        <v>22.61</v>
      </c>
      <c r="M54" s="316">
        <f t="shared" si="28"/>
        <v>5427.6</v>
      </c>
      <c r="N54" s="316">
        <f t="shared" si="29"/>
        <v>1356.5999999999995</v>
      </c>
      <c r="O54" s="350">
        <f t="shared" si="32"/>
        <v>6784.2</v>
      </c>
      <c r="Q54" s="75"/>
      <c r="R54" s="75"/>
      <c r="S54" s="75"/>
    </row>
    <row r="55" spans="1:19" s="25" customFormat="1" ht="15" customHeight="1">
      <c r="A55" s="318" t="s">
        <v>31</v>
      </c>
      <c r="B55" s="331">
        <v>92824</v>
      </c>
      <c r="C55" s="67" t="s">
        <v>27</v>
      </c>
      <c r="D55" s="340"/>
      <c r="E55" s="339"/>
      <c r="F55" s="332"/>
      <c r="G55" s="331" t="s">
        <v>16</v>
      </c>
      <c r="H55" s="116">
        <f>MEMÓRIA!H179</f>
        <v>60</v>
      </c>
      <c r="I55" s="338">
        <v>71.28</v>
      </c>
      <c r="J55" s="316">
        <f t="shared" si="27"/>
        <v>88.41</v>
      </c>
      <c r="K55" s="338">
        <f t="shared" ref="K55:K56" si="35">ROUND(J55*0.8,2)</f>
        <v>70.73</v>
      </c>
      <c r="L55" s="338">
        <f t="shared" ref="L55:L56" si="36">J55-K55</f>
        <v>17.679999999999993</v>
      </c>
      <c r="M55" s="316">
        <f t="shared" si="28"/>
        <v>4243.8</v>
      </c>
      <c r="N55" s="316">
        <f t="shared" si="29"/>
        <v>1060.8000000000002</v>
      </c>
      <c r="O55" s="350">
        <f t="shared" si="32"/>
        <v>5304.6</v>
      </c>
      <c r="Q55" s="75"/>
      <c r="R55" s="75"/>
      <c r="S55" s="75"/>
    </row>
    <row r="56" spans="1:19" s="25" customFormat="1" ht="15" customHeight="1">
      <c r="A56" s="318" t="s">
        <v>30</v>
      </c>
      <c r="B56" s="331">
        <v>7763</v>
      </c>
      <c r="C56" s="67" t="s">
        <v>371</v>
      </c>
      <c r="D56" s="340"/>
      <c r="E56" s="339"/>
      <c r="F56" s="332"/>
      <c r="G56" s="331" t="s">
        <v>16</v>
      </c>
      <c r="H56" s="116">
        <f>MEMÓRIA!H175</f>
        <v>13</v>
      </c>
      <c r="I56" s="338">
        <v>156.66</v>
      </c>
      <c r="J56" s="316">
        <f t="shared" ref="J56:J57" si="37">ROUND(I56*(1+$O$7),2)</f>
        <v>194.31</v>
      </c>
      <c r="K56" s="338">
        <f t="shared" si="35"/>
        <v>155.44999999999999</v>
      </c>
      <c r="L56" s="338">
        <f t="shared" si="36"/>
        <v>38.860000000000014</v>
      </c>
      <c r="M56" s="316">
        <f t="shared" ref="M56:M57" si="38">ROUND(H56*K56,2)</f>
        <v>2020.85</v>
      </c>
      <c r="N56" s="316">
        <f t="shared" ref="N56:N57" si="39">O56-M56</f>
        <v>505.18000000000029</v>
      </c>
      <c r="O56" s="350">
        <f t="shared" ref="O56:O57" si="40">ROUND(H56*J56,2)</f>
        <v>2526.0300000000002</v>
      </c>
      <c r="Q56" s="75"/>
      <c r="R56" s="75"/>
      <c r="S56" s="75"/>
    </row>
    <row r="57" spans="1:19" s="25" customFormat="1" ht="15" customHeight="1">
      <c r="A57" s="318" t="s">
        <v>29</v>
      </c>
      <c r="B57" s="331">
        <v>92826</v>
      </c>
      <c r="C57" s="67" t="s">
        <v>372</v>
      </c>
      <c r="D57" s="340"/>
      <c r="E57" s="339"/>
      <c r="F57" s="332"/>
      <c r="G57" s="331" t="s">
        <v>16</v>
      </c>
      <c r="H57" s="116">
        <f>MEMÓRIA!H180</f>
        <v>13</v>
      </c>
      <c r="I57" s="338">
        <v>95.13</v>
      </c>
      <c r="J57" s="316">
        <f t="shared" si="37"/>
        <v>117.99</v>
      </c>
      <c r="K57" s="338">
        <f t="shared" ref="K57" si="41">ROUND(J57*0.8,2)</f>
        <v>94.39</v>
      </c>
      <c r="L57" s="338">
        <f t="shared" ref="L57" si="42">J57-K57</f>
        <v>23.599999999999994</v>
      </c>
      <c r="M57" s="316">
        <f t="shared" si="38"/>
        <v>1227.07</v>
      </c>
      <c r="N57" s="316">
        <f t="shared" si="39"/>
        <v>306.79999999999995</v>
      </c>
      <c r="O57" s="350">
        <f t="shared" si="40"/>
        <v>1533.87</v>
      </c>
      <c r="Q57" s="75"/>
      <c r="R57" s="75"/>
      <c r="S57" s="75"/>
    </row>
    <row r="58" spans="1:19" s="25" customFormat="1" ht="15" customHeight="1">
      <c r="A58" s="318" t="s">
        <v>28</v>
      </c>
      <c r="B58" s="325">
        <v>93378</v>
      </c>
      <c r="C58" s="337" t="s">
        <v>23</v>
      </c>
      <c r="D58" s="340"/>
      <c r="E58" s="339"/>
      <c r="F58" s="332"/>
      <c r="G58" s="336" t="s">
        <v>91</v>
      </c>
      <c r="H58" s="116">
        <f>MEMÓRIA!H186</f>
        <v>168.250832</v>
      </c>
      <c r="I58" s="316">
        <v>18.899999999999999</v>
      </c>
      <c r="J58" s="316">
        <f t="shared" si="27"/>
        <v>23.44</v>
      </c>
      <c r="K58" s="316">
        <f t="shared" si="33"/>
        <v>18.75</v>
      </c>
      <c r="L58" s="316">
        <f t="shared" si="34"/>
        <v>4.6900000000000013</v>
      </c>
      <c r="M58" s="316">
        <f t="shared" si="28"/>
        <v>3154.7</v>
      </c>
      <c r="N58" s="316">
        <f t="shared" si="29"/>
        <v>789.10000000000036</v>
      </c>
      <c r="O58" s="350">
        <f t="shared" si="32"/>
        <v>3943.8</v>
      </c>
      <c r="Q58" s="75"/>
      <c r="R58" s="75"/>
      <c r="S58" s="75"/>
    </row>
    <row r="59" spans="1:19" ht="15" customHeight="1">
      <c r="A59" s="318" t="s">
        <v>26</v>
      </c>
      <c r="B59" s="331">
        <v>93589</v>
      </c>
      <c r="C59" s="67" t="s">
        <v>176</v>
      </c>
      <c r="D59" s="334" t="s">
        <v>2</v>
      </c>
      <c r="E59" s="333">
        <f>S3</f>
        <v>13.1</v>
      </c>
      <c r="F59" s="332" t="s">
        <v>1</v>
      </c>
      <c r="G59" s="35" t="s">
        <v>143</v>
      </c>
      <c r="H59" s="116">
        <f>MEMÓRIA!H190</f>
        <v>384.79887599999995</v>
      </c>
      <c r="I59" s="316">
        <v>1.18</v>
      </c>
      <c r="J59" s="316">
        <f t="shared" si="27"/>
        <v>1.46</v>
      </c>
      <c r="K59" s="316">
        <f>ROUND(J59*0.8,2)</f>
        <v>1.17</v>
      </c>
      <c r="L59" s="316">
        <f>J59-K59</f>
        <v>0.29000000000000004</v>
      </c>
      <c r="M59" s="316">
        <f t="shared" si="28"/>
        <v>450.21</v>
      </c>
      <c r="N59" s="316">
        <f t="shared" si="29"/>
        <v>111.59999999999997</v>
      </c>
      <c r="O59" s="350">
        <f>ROUND(H59*J59,2)</f>
        <v>561.80999999999995</v>
      </c>
    </row>
    <row r="60" spans="1:19" s="312" customFormat="1" ht="15" customHeight="1">
      <c r="A60" s="318" t="s">
        <v>25</v>
      </c>
      <c r="B60" s="562" t="s">
        <v>461</v>
      </c>
      <c r="C60" s="67" t="s">
        <v>460</v>
      </c>
      <c r="D60" s="334"/>
      <c r="E60" s="333"/>
      <c r="F60" s="332"/>
      <c r="G60" s="35" t="s">
        <v>16</v>
      </c>
      <c r="H60" s="116">
        <f>MEMÓRIA!H193</f>
        <v>918</v>
      </c>
      <c r="I60" s="316">
        <v>13.23</v>
      </c>
      <c r="J60" s="316">
        <f t="shared" ref="J60" si="43">ROUND(I60*(1+$O$7),2)</f>
        <v>16.41</v>
      </c>
      <c r="K60" s="316">
        <f>ROUND(J60*0.8,2)</f>
        <v>13.13</v>
      </c>
      <c r="L60" s="316">
        <f>J60-K60</f>
        <v>3.2799999999999994</v>
      </c>
      <c r="M60" s="316">
        <f t="shared" ref="M60" si="44">ROUND(H60*K60,2)</f>
        <v>12053.34</v>
      </c>
      <c r="N60" s="316">
        <f t="shared" ref="N60" si="45">O60-M60</f>
        <v>3011.0399999999991</v>
      </c>
      <c r="O60" s="350">
        <f>ROUND(H60*J60,2)</f>
        <v>15064.38</v>
      </c>
      <c r="Q60" s="313"/>
      <c r="R60" s="313"/>
      <c r="S60" s="313"/>
    </row>
    <row r="61" spans="1:19" s="312" customFormat="1" ht="15" customHeight="1">
      <c r="A61" s="318" t="s">
        <v>24</v>
      </c>
      <c r="B61" s="562" t="s">
        <v>463</v>
      </c>
      <c r="C61" s="67" t="s">
        <v>462</v>
      </c>
      <c r="D61" s="334"/>
      <c r="E61" s="333"/>
      <c r="F61" s="332"/>
      <c r="G61" s="35" t="s">
        <v>16</v>
      </c>
      <c r="H61" s="116">
        <f>MEMÓRIA!H196</f>
        <v>734</v>
      </c>
      <c r="I61" s="316">
        <v>43.08</v>
      </c>
      <c r="J61" s="316">
        <f t="shared" ref="J61" si="46">ROUND(I61*(1+$O$7),2)</f>
        <v>53.43</v>
      </c>
      <c r="K61" s="316">
        <f>ROUND(J61*0.8,2)</f>
        <v>42.74</v>
      </c>
      <c r="L61" s="316">
        <f>J61-K61</f>
        <v>10.689999999999998</v>
      </c>
      <c r="M61" s="316">
        <f t="shared" ref="M61" si="47">ROUND(H61*K61,2)</f>
        <v>31371.16</v>
      </c>
      <c r="N61" s="316">
        <f t="shared" ref="N61" si="48">O61-M61</f>
        <v>7846.4600000000028</v>
      </c>
      <c r="O61" s="350">
        <f>ROUND(H61*J61,2)</f>
        <v>39217.620000000003</v>
      </c>
      <c r="Q61" s="313"/>
      <c r="R61" s="313"/>
      <c r="S61" s="313"/>
    </row>
    <row r="62" spans="1:19" s="312" customFormat="1" ht="15" customHeight="1">
      <c r="A62" s="318" t="s">
        <v>22</v>
      </c>
      <c r="B62" s="562" t="s">
        <v>465</v>
      </c>
      <c r="C62" s="67" t="s">
        <v>464</v>
      </c>
      <c r="D62" s="334"/>
      <c r="E62" s="333"/>
      <c r="F62" s="332"/>
      <c r="G62" s="35" t="s">
        <v>16</v>
      </c>
      <c r="H62" s="116">
        <f>MEMÓRIA!H199</f>
        <v>136</v>
      </c>
      <c r="I62" s="316">
        <v>189.31</v>
      </c>
      <c r="J62" s="316">
        <f t="shared" ref="J62" si="49">ROUND(I62*(1+$O$7),2)</f>
        <v>234.8</v>
      </c>
      <c r="K62" s="316">
        <f>ROUND(J62*0.8,2)</f>
        <v>187.84</v>
      </c>
      <c r="L62" s="316">
        <f>J62-K62</f>
        <v>46.960000000000008</v>
      </c>
      <c r="M62" s="316">
        <f t="shared" ref="M62" si="50">ROUND(H62*K62,2)</f>
        <v>25546.240000000002</v>
      </c>
      <c r="N62" s="316">
        <f t="shared" ref="N62" si="51">O62-M62</f>
        <v>6386.5599999999977</v>
      </c>
      <c r="O62" s="350">
        <f>ROUND(H62*J62,2)</f>
        <v>31932.799999999999</v>
      </c>
      <c r="Q62" s="313"/>
      <c r="R62" s="313"/>
      <c r="S62" s="313"/>
    </row>
    <row r="63" spans="1:19" s="312" customFormat="1" ht="15" customHeight="1">
      <c r="A63" s="318" t="s">
        <v>21</v>
      </c>
      <c r="B63" s="562" t="s">
        <v>467</v>
      </c>
      <c r="C63" s="67" t="s">
        <v>466</v>
      </c>
      <c r="D63" s="334"/>
      <c r="E63" s="333"/>
      <c r="F63" s="332"/>
      <c r="G63" s="321" t="s">
        <v>7</v>
      </c>
      <c r="H63" s="116">
        <f>MEMÓRIA!H202</f>
        <v>12</v>
      </c>
      <c r="I63" s="316">
        <v>2937.03</v>
      </c>
      <c r="J63" s="316">
        <f t="shared" ref="J63" si="52">ROUND(I63*(1+$O$7),2)</f>
        <v>3642.8</v>
      </c>
      <c r="K63" s="316">
        <f>ROUND(J63*0.8,2)</f>
        <v>2914.24</v>
      </c>
      <c r="L63" s="316">
        <f>J63-K63</f>
        <v>728.5600000000004</v>
      </c>
      <c r="M63" s="316">
        <f t="shared" ref="M63" si="53">ROUND(H63*K63,2)</f>
        <v>34970.879999999997</v>
      </c>
      <c r="N63" s="316">
        <f t="shared" ref="N63" si="54">O63-M63</f>
        <v>8742.7200000000012</v>
      </c>
      <c r="O63" s="350">
        <f>ROUND(H63*J63,2)</f>
        <v>43713.599999999999</v>
      </c>
      <c r="Q63" s="313"/>
      <c r="R63" s="313"/>
      <c r="S63" s="313"/>
    </row>
    <row r="64" spans="1:19" s="25" customFormat="1" ht="15" customHeight="1">
      <c r="A64" s="318" t="s">
        <v>20</v>
      </c>
      <c r="B64" s="307" t="s">
        <v>224</v>
      </c>
      <c r="C64" s="330" t="s">
        <v>223</v>
      </c>
      <c r="D64" s="340"/>
      <c r="E64" s="590"/>
      <c r="F64" s="329"/>
      <c r="G64" s="321" t="s">
        <v>7</v>
      </c>
      <c r="H64" s="142">
        <f>MEMÓRIA!H205</f>
        <v>5</v>
      </c>
      <c r="I64" s="316">
        <v>961.14</v>
      </c>
      <c r="J64" s="316">
        <f t="shared" ref="J64:J65" si="55">ROUND(I64*(1+$O$7),2)</f>
        <v>1192.0999999999999</v>
      </c>
      <c r="K64" s="316">
        <f t="shared" ref="K64:K65" si="56">ROUND(J64*0.8,2)</f>
        <v>953.68</v>
      </c>
      <c r="L64" s="316">
        <f t="shared" ref="L64:L65" si="57">J64-K64</f>
        <v>238.41999999999996</v>
      </c>
      <c r="M64" s="316">
        <f t="shared" ref="M64:M65" si="58">ROUND(H64*K64,2)</f>
        <v>4768.3999999999996</v>
      </c>
      <c r="N64" s="316">
        <f t="shared" ref="N64:N65" si="59">O64-M64</f>
        <v>1192.1000000000004</v>
      </c>
      <c r="O64" s="350">
        <f t="shared" ref="O64:O65" si="60">ROUND(H64*J64,2)</f>
        <v>5960.5</v>
      </c>
      <c r="P64" s="74"/>
      <c r="Q64" s="75"/>
      <c r="R64" s="75"/>
    </row>
    <row r="65" spans="1:19" s="25" customFormat="1" ht="15" customHeight="1" thickBot="1">
      <c r="A65" s="318" t="s">
        <v>19</v>
      </c>
      <c r="B65" s="307" t="s">
        <v>385</v>
      </c>
      <c r="C65" s="330" t="s">
        <v>370</v>
      </c>
      <c r="D65" s="340"/>
      <c r="E65" s="590"/>
      <c r="F65" s="329"/>
      <c r="G65" s="321" t="s">
        <v>7</v>
      </c>
      <c r="H65" s="142">
        <f>MEMÓRIA!H208</f>
        <v>2</v>
      </c>
      <c r="I65" s="316">
        <v>1438.07</v>
      </c>
      <c r="J65" s="316">
        <f t="shared" si="55"/>
        <v>1783.64</v>
      </c>
      <c r="K65" s="316">
        <f t="shared" si="56"/>
        <v>1426.91</v>
      </c>
      <c r="L65" s="316">
        <f t="shared" si="57"/>
        <v>356.73</v>
      </c>
      <c r="M65" s="316">
        <f t="shared" si="58"/>
        <v>2853.82</v>
      </c>
      <c r="N65" s="316">
        <f t="shared" si="59"/>
        <v>713.46</v>
      </c>
      <c r="O65" s="350">
        <f t="shared" si="60"/>
        <v>3567.28</v>
      </c>
      <c r="P65" s="74"/>
      <c r="Q65" s="75"/>
      <c r="R65" s="75"/>
    </row>
    <row r="66" spans="1:19" s="25" customFormat="1" ht="15" customHeight="1" thickBot="1">
      <c r="A66" s="830" t="s">
        <v>18</v>
      </c>
      <c r="B66" s="831"/>
      <c r="C66" s="831"/>
      <c r="D66" s="831"/>
      <c r="E66" s="831"/>
      <c r="F66" s="831"/>
      <c r="G66" s="831"/>
      <c r="H66" s="831"/>
      <c r="I66" s="831"/>
      <c r="J66" s="831"/>
      <c r="K66" s="831"/>
      <c r="L66" s="831"/>
      <c r="M66" s="232">
        <f>SUM(M50:M65)</f>
        <v>137311.35</v>
      </c>
      <c r="N66" s="232">
        <f>SUM(N50:N65)</f>
        <v>34325.379999999997</v>
      </c>
      <c r="O66" s="46">
        <f>SUM(O50:O65)</f>
        <v>171636.73</v>
      </c>
      <c r="Q66" s="75"/>
      <c r="R66" s="75"/>
      <c r="S66" s="75"/>
    </row>
    <row r="67" spans="1:19" ht="15" customHeight="1" thickBot="1">
      <c r="A67" s="15" t="s">
        <v>80</v>
      </c>
      <c r="B67" s="14"/>
      <c r="C67" s="13" t="s">
        <v>12</v>
      </c>
      <c r="D67" s="13"/>
      <c r="E67" s="133"/>
      <c r="F67" s="13"/>
      <c r="G67" s="12"/>
      <c r="H67" s="12"/>
      <c r="I67" s="11"/>
      <c r="J67" s="11"/>
      <c r="K67" s="11"/>
      <c r="L67" s="11"/>
      <c r="M67" s="11"/>
      <c r="N67" s="11"/>
      <c r="O67" s="10"/>
    </row>
    <row r="68" spans="1:19" ht="15" customHeight="1">
      <c r="A68" s="53" t="s">
        <v>17</v>
      </c>
      <c r="B68" s="69">
        <v>72947</v>
      </c>
      <c r="C68" s="71" t="s">
        <v>113</v>
      </c>
      <c r="D68" s="601"/>
      <c r="E68" s="602"/>
      <c r="F68" s="9"/>
      <c r="G68" s="54" t="s">
        <v>90</v>
      </c>
      <c r="H68" s="118">
        <f>MEMÓRIA!H218</f>
        <v>322.32</v>
      </c>
      <c r="I68" s="8">
        <v>25.82</v>
      </c>
      <c r="J68" s="8">
        <f>ROUND(I68*(1+$O$7),2)</f>
        <v>32.020000000000003</v>
      </c>
      <c r="K68" s="68">
        <f>ROUND(J68*0.8,2)</f>
        <v>25.62</v>
      </c>
      <c r="L68" s="68">
        <f>J68-K68</f>
        <v>6.4000000000000021</v>
      </c>
      <c r="M68" s="7">
        <f>ROUND(H68*K68,2)</f>
        <v>8257.84</v>
      </c>
      <c r="N68" s="7">
        <f>O68-M68</f>
        <v>2062.8500000000004</v>
      </c>
      <c r="O68" s="146">
        <f>ROUND(H68*J68,2)</f>
        <v>10320.69</v>
      </c>
    </row>
    <row r="69" spans="1:19" ht="15" customHeight="1">
      <c r="A69" s="322" t="s">
        <v>15</v>
      </c>
      <c r="B69" s="27">
        <v>34723</v>
      </c>
      <c r="C69" s="374" t="s">
        <v>386</v>
      </c>
      <c r="D69" s="603"/>
      <c r="E69" s="604"/>
      <c r="F69" s="143"/>
      <c r="G69" s="34" t="s">
        <v>90</v>
      </c>
      <c r="H69" s="119">
        <f>MEMÓRIA!H232</f>
        <v>4.2098499999999994</v>
      </c>
      <c r="I69" s="7">
        <v>396.6</v>
      </c>
      <c r="J69" s="7">
        <f>ROUND(I69*(1+$O$7),2)</f>
        <v>491.9</v>
      </c>
      <c r="K69" s="68">
        <f t="shared" ref="K69:K71" si="61">ROUND(J69*0.8,2)</f>
        <v>393.52</v>
      </c>
      <c r="L69" s="68">
        <f t="shared" ref="L69:L71" si="62">J69-K69</f>
        <v>98.38</v>
      </c>
      <c r="M69" s="7">
        <f t="shared" ref="M69:M71" si="63">ROUND(H69*K69,2)</f>
        <v>1656.66</v>
      </c>
      <c r="N69" s="7">
        <f t="shared" ref="N69:N71" si="64">O69-M69</f>
        <v>414.16999999999985</v>
      </c>
      <c r="O69" s="146">
        <f t="shared" ref="O69:O71" si="65">ROUND(H69*J69,2)</f>
        <v>2070.83</v>
      </c>
    </row>
    <row r="70" spans="1:19" s="312" customFormat="1" ht="15" customHeight="1">
      <c r="A70" s="322" t="s">
        <v>14</v>
      </c>
      <c r="B70" s="70">
        <v>92335</v>
      </c>
      <c r="C70" s="374" t="s">
        <v>420</v>
      </c>
      <c r="D70" s="24"/>
      <c r="E70" s="132"/>
      <c r="F70" s="24"/>
      <c r="G70" s="23" t="s">
        <v>16</v>
      </c>
      <c r="H70" s="317">
        <f>MEMÓRIA!H236</f>
        <v>72</v>
      </c>
      <c r="I70" s="316">
        <v>57.07</v>
      </c>
      <c r="J70" s="316">
        <f>ROUND(I70*(1+$O$7),2)</f>
        <v>70.78</v>
      </c>
      <c r="K70" s="68">
        <f t="shared" ref="K70" si="66">ROUND(J70*0.8,2)</f>
        <v>56.62</v>
      </c>
      <c r="L70" s="68">
        <f t="shared" ref="L70" si="67">J70-K70</f>
        <v>14.160000000000004</v>
      </c>
      <c r="M70" s="316">
        <f t="shared" ref="M70" si="68">ROUND(H70*K70,2)</f>
        <v>4076.64</v>
      </c>
      <c r="N70" s="316">
        <f t="shared" ref="N70" si="69">O70-M70</f>
        <v>1019.52</v>
      </c>
      <c r="O70" s="146">
        <f t="shared" ref="O70" si="70">ROUND(H70*J70,2)</f>
        <v>5096.16</v>
      </c>
      <c r="Q70" s="313"/>
      <c r="R70" s="313"/>
      <c r="S70" s="313"/>
    </row>
    <row r="71" spans="1:19" ht="15" customHeight="1" thickBot="1">
      <c r="A71" s="322" t="s">
        <v>13</v>
      </c>
      <c r="B71" s="600" t="s">
        <v>540</v>
      </c>
      <c r="C71" s="374" t="s">
        <v>539</v>
      </c>
      <c r="D71" s="24"/>
      <c r="E71" s="132"/>
      <c r="F71" s="24"/>
      <c r="G71" s="321" t="s">
        <v>7</v>
      </c>
      <c r="H71" s="119">
        <f>MEMÓRIA!H242</f>
        <v>333</v>
      </c>
      <c r="I71" s="7">
        <v>17.22</v>
      </c>
      <c r="J71" s="7">
        <f>ROUND(I71*(1+$O$7),2)</f>
        <v>21.36</v>
      </c>
      <c r="K71" s="68">
        <f t="shared" si="61"/>
        <v>17.09</v>
      </c>
      <c r="L71" s="68">
        <f t="shared" si="62"/>
        <v>4.2699999999999996</v>
      </c>
      <c r="M71" s="7">
        <f t="shared" si="63"/>
        <v>5690.97</v>
      </c>
      <c r="N71" s="7">
        <f t="shared" si="64"/>
        <v>1421.9099999999999</v>
      </c>
      <c r="O71" s="146">
        <f t="shared" si="65"/>
        <v>7112.88</v>
      </c>
    </row>
    <row r="72" spans="1:19" ht="15" customHeight="1" thickBot="1">
      <c r="A72" s="830" t="s">
        <v>550</v>
      </c>
      <c r="B72" s="831"/>
      <c r="C72" s="831"/>
      <c r="D72" s="831"/>
      <c r="E72" s="831"/>
      <c r="F72" s="831"/>
      <c r="G72" s="831"/>
      <c r="H72" s="831"/>
      <c r="I72" s="831"/>
      <c r="J72" s="831"/>
      <c r="K72" s="831"/>
      <c r="L72" s="832"/>
      <c r="M72" s="40">
        <f>SUM(M68:M71)</f>
        <v>19682.11</v>
      </c>
      <c r="N72" s="40">
        <f>SUM(N68:N71)</f>
        <v>4918.4500000000007</v>
      </c>
      <c r="O72" s="46">
        <f>SUM(O68:O71)</f>
        <v>24600.560000000001</v>
      </c>
    </row>
    <row r="73" spans="1:19" ht="15" customHeight="1" thickBot="1">
      <c r="A73" s="15" t="s">
        <v>81</v>
      </c>
      <c r="B73" s="14"/>
      <c r="C73" s="13" t="s">
        <v>214</v>
      </c>
      <c r="D73" s="13"/>
      <c r="E73" s="133"/>
      <c r="F73" s="13"/>
      <c r="G73" s="12"/>
      <c r="H73" s="12"/>
      <c r="I73" s="11"/>
      <c r="J73" s="11"/>
      <c r="K73" s="11"/>
      <c r="L73" s="11"/>
      <c r="M73" s="11"/>
      <c r="N73" s="11"/>
      <c r="O73" s="10"/>
    </row>
    <row r="74" spans="1:19" ht="15" customHeight="1">
      <c r="A74" s="147" t="s">
        <v>11</v>
      </c>
      <c r="B74" s="148" t="s">
        <v>457</v>
      </c>
      <c r="C74" s="72" t="s">
        <v>217</v>
      </c>
      <c r="D74" s="73"/>
      <c r="E74" s="134"/>
      <c r="F74" s="73"/>
      <c r="G74" s="148" t="s">
        <v>138</v>
      </c>
      <c r="H74" s="120">
        <f>MEMÓRIA!H246</f>
        <v>1</v>
      </c>
      <c r="I74" s="39">
        <f>COMP2!K37</f>
        <v>4453.5730000000003</v>
      </c>
      <c r="J74" s="39">
        <f>ROUND(I74*(1+$O$7),2)</f>
        <v>5523.77</v>
      </c>
      <c r="K74" s="39">
        <f>ROUND(J74*1,2)</f>
        <v>5523.77</v>
      </c>
      <c r="L74" s="39">
        <v>0</v>
      </c>
      <c r="M74" s="7">
        <f>ROUND(H74*K74,2)</f>
        <v>5523.77</v>
      </c>
      <c r="N74" s="7">
        <f>O74-M74</f>
        <v>0</v>
      </c>
      <c r="O74" s="146">
        <f>ROUND(H74*J74,2)</f>
        <v>5523.77</v>
      </c>
    </row>
    <row r="75" spans="1:19" s="22" customFormat="1" ht="15" customHeight="1">
      <c r="A75" s="322" t="s">
        <v>10</v>
      </c>
      <c r="B75" s="321">
        <v>78472</v>
      </c>
      <c r="C75" s="128" t="s">
        <v>142</v>
      </c>
      <c r="D75" s="319"/>
      <c r="E75" s="320"/>
      <c r="F75" s="319"/>
      <c r="G75" s="318" t="s">
        <v>90</v>
      </c>
      <c r="H75" s="317">
        <f>MEMÓRIA!H249</f>
        <v>7235.3</v>
      </c>
      <c r="I75" s="316">
        <v>0.41</v>
      </c>
      <c r="J75" s="316">
        <f>ROUND(I75*(1+$O$7),2)</f>
        <v>0.51</v>
      </c>
      <c r="K75" s="316">
        <f t="shared" ref="K75" si="71">ROUND(J75*0.8,2)</f>
        <v>0.41</v>
      </c>
      <c r="L75" s="316">
        <f>J75-K75</f>
        <v>0.10000000000000003</v>
      </c>
      <c r="M75" s="316">
        <f t="shared" ref="M75" si="72">ROUND(H75*K75,2)</f>
        <v>2966.47</v>
      </c>
      <c r="N75" s="316">
        <f t="shared" ref="N75" si="73">O75-M75</f>
        <v>723.5300000000002</v>
      </c>
      <c r="O75" s="350">
        <f t="shared" ref="O75" si="74">ROUND(H75*J75,2)</f>
        <v>3690</v>
      </c>
      <c r="Q75" s="313"/>
      <c r="R75" s="313"/>
      <c r="S75" s="313"/>
    </row>
    <row r="76" spans="1:19" ht="15" customHeight="1">
      <c r="A76" s="322" t="s">
        <v>9</v>
      </c>
      <c r="B76" s="318" t="s">
        <v>591</v>
      </c>
      <c r="C76" s="153" t="s">
        <v>593</v>
      </c>
      <c r="D76" s="150"/>
      <c r="E76" s="151"/>
      <c r="F76" s="150"/>
      <c r="G76" s="318" t="s">
        <v>90</v>
      </c>
      <c r="H76" s="152">
        <f>H36</f>
        <v>8045.3</v>
      </c>
      <c r="I76" s="7">
        <v>0.98</v>
      </c>
      <c r="J76" s="7">
        <f t="shared" ref="J76" si="75">TRUNC(I76*(1+$O$7),2)</f>
        <v>1.21</v>
      </c>
      <c r="K76" s="7">
        <f t="shared" ref="K76" si="76">ROUND(J76*0.8,2)</f>
        <v>0.97</v>
      </c>
      <c r="L76" s="7">
        <f t="shared" ref="L76" si="77">J76-K76</f>
        <v>0.24</v>
      </c>
      <c r="M76" s="7">
        <f t="shared" ref="M76:M83" si="78">ROUND(H76*K76,2)</f>
        <v>7803.94</v>
      </c>
      <c r="N76" s="7">
        <f t="shared" ref="N76:N83" si="79">O76-M76</f>
        <v>1930.87</v>
      </c>
      <c r="O76" s="146">
        <f t="shared" ref="O76:O83" si="80">ROUND(H76*J76,2)</f>
        <v>9734.81</v>
      </c>
      <c r="Q76" s="1"/>
      <c r="R76" s="1"/>
      <c r="S76" s="1"/>
    </row>
    <row r="77" spans="1:19" ht="15" customHeight="1">
      <c r="A77" s="322" t="s">
        <v>116</v>
      </c>
      <c r="B77" s="318" t="s">
        <v>592</v>
      </c>
      <c r="C77" s="434" t="s">
        <v>639</v>
      </c>
      <c r="D77" s="319"/>
      <c r="E77" s="435"/>
      <c r="F77" s="319"/>
      <c r="G77" s="336" t="s">
        <v>91</v>
      </c>
      <c r="H77" s="323">
        <f>H40</f>
        <v>2674.2019999999998</v>
      </c>
      <c r="I77" s="316">
        <v>1.92</v>
      </c>
      <c r="J77" s="316">
        <f t="shared" ref="J77" si="81">TRUNC(I77*(1+$O$7),2)</f>
        <v>2.38</v>
      </c>
      <c r="K77" s="316">
        <f t="shared" ref="K77" si="82">ROUND(J77*0.8,2)</f>
        <v>1.9</v>
      </c>
      <c r="L77" s="316">
        <f t="shared" ref="L77" si="83">J77-K77</f>
        <v>0.48</v>
      </c>
      <c r="M77" s="316">
        <f t="shared" si="78"/>
        <v>5080.9799999999996</v>
      </c>
      <c r="N77" s="316">
        <f t="shared" si="79"/>
        <v>1283.6200000000008</v>
      </c>
      <c r="O77" s="350">
        <f t="shared" si="80"/>
        <v>6364.6</v>
      </c>
      <c r="Q77" s="1"/>
      <c r="R77" s="1"/>
      <c r="S77" s="1"/>
    </row>
    <row r="78" spans="1:19" ht="15" customHeight="1">
      <c r="A78" s="322" t="s">
        <v>117</v>
      </c>
      <c r="B78" s="318"/>
      <c r="C78" s="434" t="s">
        <v>599</v>
      </c>
      <c r="D78" s="319"/>
      <c r="E78" s="435"/>
      <c r="F78" s="319"/>
      <c r="G78" s="318"/>
      <c r="H78" s="323"/>
      <c r="I78" s="316"/>
      <c r="J78" s="316"/>
      <c r="K78" s="316"/>
      <c r="L78" s="316"/>
      <c r="M78" s="316"/>
      <c r="N78" s="316"/>
      <c r="O78" s="350"/>
      <c r="Q78" s="1"/>
      <c r="R78" s="1"/>
      <c r="S78" s="1"/>
    </row>
    <row r="79" spans="1:19" ht="15" customHeight="1">
      <c r="A79" s="322" t="s">
        <v>416</v>
      </c>
      <c r="B79" s="318" t="s">
        <v>594</v>
      </c>
      <c r="C79" s="434" t="s">
        <v>600</v>
      </c>
      <c r="D79" s="319"/>
      <c r="E79" s="435"/>
      <c r="F79" s="319"/>
      <c r="G79" s="318" t="s">
        <v>138</v>
      </c>
      <c r="H79" s="323">
        <v>9</v>
      </c>
      <c r="I79" s="316">
        <v>181.04</v>
      </c>
      <c r="J79" s="316">
        <f t="shared" ref="J79" si="84">TRUNC(I79*(1+$O$7),2)</f>
        <v>224.54</v>
      </c>
      <c r="K79" s="316">
        <f t="shared" ref="K79" si="85">ROUND(J79*0.8,2)</f>
        <v>179.63</v>
      </c>
      <c r="L79" s="316">
        <f t="shared" ref="L79" si="86">J79-K79</f>
        <v>44.91</v>
      </c>
      <c r="M79" s="316">
        <f t="shared" si="78"/>
        <v>1616.67</v>
      </c>
      <c r="N79" s="316">
        <f t="shared" si="79"/>
        <v>404.18999999999983</v>
      </c>
      <c r="O79" s="350">
        <f t="shared" si="80"/>
        <v>2020.86</v>
      </c>
      <c r="Q79" s="1"/>
      <c r="R79" s="1"/>
      <c r="S79" s="1"/>
    </row>
    <row r="80" spans="1:19" ht="15" customHeight="1">
      <c r="A80" s="322" t="s">
        <v>414</v>
      </c>
      <c r="B80" s="318"/>
      <c r="C80" s="434" t="s">
        <v>225</v>
      </c>
      <c r="D80" s="319"/>
      <c r="E80" s="435"/>
      <c r="F80" s="319"/>
      <c r="G80" s="318"/>
      <c r="H80" s="436"/>
      <c r="I80" s="316"/>
      <c r="J80" s="316"/>
      <c r="K80" s="316"/>
      <c r="L80" s="316"/>
      <c r="M80" s="316"/>
      <c r="N80" s="316"/>
      <c r="O80" s="350"/>
      <c r="Q80" s="1"/>
      <c r="R80" s="1"/>
      <c r="S80" s="1"/>
    </row>
    <row r="81" spans="1:19" ht="15" customHeight="1">
      <c r="A81" s="322" t="s">
        <v>551</v>
      </c>
      <c r="B81" s="318" t="s">
        <v>597</v>
      </c>
      <c r="C81" s="434" t="s">
        <v>595</v>
      </c>
      <c r="D81" s="319"/>
      <c r="E81" s="435"/>
      <c r="F81" s="319"/>
      <c r="G81" s="318" t="s">
        <v>138</v>
      </c>
      <c r="H81" s="436">
        <v>9</v>
      </c>
      <c r="I81" s="316">
        <v>63.36</v>
      </c>
      <c r="J81" s="316">
        <f t="shared" ref="J81:J83" si="87">TRUNC(I81*(1+$O$7),2)</f>
        <v>78.58</v>
      </c>
      <c r="K81" s="316">
        <f t="shared" ref="K81" si="88">ROUND(J81*0.8,2)</f>
        <v>62.86</v>
      </c>
      <c r="L81" s="316">
        <f t="shared" ref="L81" si="89">J81-K81</f>
        <v>15.719999999999999</v>
      </c>
      <c r="M81" s="316">
        <f t="shared" si="78"/>
        <v>565.74</v>
      </c>
      <c r="N81" s="316">
        <f t="shared" si="79"/>
        <v>141.48000000000002</v>
      </c>
      <c r="O81" s="350">
        <f t="shared" si="80"/>
        <v>707.22</v>
      </c>
      <c r="Q81" s="1"/>
      <c r="R81" s="1"/>
      <c r="S81" s="1"/>
    </row>
    <row r="82" spans="1:19" ht="15" customHeight="1">
      <c r="A82" s="322" t="s">
        <v>552</v>
      </c>
      <c r="B82" s="318" t="s">
        <v>216</v>
      </c>
      <c r="C82" s="447" t="s">
        <v>596</v>
      </c>
      <c r="D82" s="319"/>
      <c r="E82" s="435"/>
      <c r="F82" s="319"/>
      <c r="G82" s="318" t="s">
        <v>138</v>
      </c>
      <c r="H82" s="436">
        <v>9</v>
      </c>
      <c r="I82" s="316">
        <v>144.83000000000001</v>
      </c>
      <c r="J82" s="316">
        <f t="shared" si="87"/>
        <v>179.63</v>
      </c>
      <c r="K82" s="316">
        <f t="shared" ref="K82:K83" si="90">ROUND(J82*0.8,2)</f>
        <v>143.69999999999999</v>
      </c>
      <c r="L82" s="316">
        <f t="shared" ref="L82:L83" si="91">J82-K82</f>
        <v>35.930000000000007</v>
      </c>
      <c r="M82" s="316">
        <f t="shared" si="78"/>
        <v>1293.3</v>
      </c>
      <c r="N82" s="316">
        <f t="shared" si="79"/>
        <v>323.37000000000012</v>
      </c>
      <c r="O82" s="350">
        <f t="shared" si="80"/>
        <v>1616.67</v>
      </c>
      <c r="Q82" s="1"/>
      <c r="R82" s="1"/>
      <c r="S82" s="1"/>
    </row>
    <row r="83" spans="1:19" ht="15" customHeight="1">
      <c r="A83" s="322" t="s">
        <v>553</v>
      </c>
      <c r="B83" s="318" t="s">
        <v>226</v>
      </c>
      <c r="C83" s="434" t="s">
        <v>598</v>
      </c>
      <c r="D83" s="319"/>
      <c r="E83" s="435"/>
      <c r="F83" s="319"/>
      <c r="G83" s="318" t="s">
        <v>138</v>
      </c>
      <c r="H83" s="436">
        <v>9</v>
      </c>
      <c r="I83" s="316">
        <v>90.52</v>
      </c>
      <c r="J83" s="316">
        <f t="shared" si="87"/>
        <v>112.27</v>
      </c>
      <c r="K83" s="316">
        <f t="shared" si="90"/>
        <v>89.82</v>
      </c>
      <c r="L83" s="316">
        <f t="shared" si="91"/>
        <v>22.450000000000003</v>
      </c>
      <c r="M83" s="316">
        <f t="shared" si="78"/>
        <v>808.38</v>
      </c>
      <c r="N83" s="316">
        <f t="shared" si="79"/>
        <v>202.04999999999995</v>
      </c>
      <c r="O83" s="350">
        <f t="shared" si="80"/>
        <v>1010.43</v>
      </c>
      <c r="Q83" s="1"/>
      <c r="R83" s="1"/>
      <c r="S83" s="1"/>
    </row>
    <row r="84" spans="1:19" s="312" customFormat="1" ht="15" customHeight="1" thickBot="1">
      <c r="A84" s="437" t="s">
        <v>417</v>
      </c>
      <c r="B84" s="438" t="s">
        <v>456</v>
      </c>
      <c r="C84" s="439" t="s">
        <v>415</v>
      </c>
      <c r="D84" s="440"/>
      <c r="E84" s="441"/>
      <c r="F84" s="440"/>
      <c r="G84" s="438" t="s">
        <v>231</v>
      </c>
      <c r="H84" s="442">
        <v>100</v>
      </c>
      <c r="I84" s="443">
        <f>COMP3!K16</f>
        <v>137.1232</v>
      </c>
      <c r="J84" s="302">
        <f>ROUND(I84*(1+$O$7),2)</f>
        <v>170.07</v>
      </c>
      <c r="K84" s="443">
        <f>ROUND(J84*0,2)</f>
        <v>0</v>
      </c>
      <c r="L84" s="443">
        <f>J84-K84</f>
        <v>170.07</v>
      </c>
      <c r="M84" s="443">
        <f>ROUND(H84*K84,2)</f>
        <v>0</v>
      </c>
      <c r="N84" s="444">
        <f>O84-M84</f>
        <v>17007</v>
      </c>
      <c r="O84" s="445">
        <f>TRUNC(H84*J84,2)</f>
        <v>17007</v>
      </c>
      <c r="Q84" s="446"/>
    </row>
    <row r="85" spans="1:19" ht="12.95" customHeight="1" thickBot="1">
      <c r="A85" s="830" t="s">
        <v>112</v>
      </c>
      <c r="B85" s="831"/>
      <c r="C85" s="831"/>
      <c r="D85" s="831"/>
      <c r="E85" s="831"/>
      <c r="F85" s="831"/>
      <c r="G85" s="831"/>
      <c r="H85" s="831"/>
      <c r="I85" s="831"/>
      <c r="J85" s="831"/>
      <c r="K85" s="831"/>
      <c r="L85" s="832"/>
      <c r="M85" s="40">
        <f>SUM(M74:M84)</f>
        <v>25659.250000000004</v>
      </c>
      <c r="N85" s="40">
        <f>SUM(N74:N84)</f>
        <v>22016.11</v>
      </c>
      <c r="O85" s="46">
        <f>SUM(O74:O84)</f>
        <v>47675.360000000001</v>
      </c>
      <c r="R85" s="328">
        <f>O87*0.05</f>
        <v>75125.342999999993</v>
      </c>
    </row>
    <row r="86" spans="1:19" ht="15" customHeight="1">
      <c r="A86" s="6"/>
      <c r="B86" s="5"/>
      <c r="C86" s="4"/>
      <c r="D86" s="4"/>
      <c r="E86" s="135"/>
      <c r="F86" s="4"/>
      <c r="G86" s="4"/>
      <c r="H86" s="4"/>
      <c r="I86" s="4"/>
      <c r="J86" s="4"/>
      <c r="K86" s="4"/>
      <c r="L86" s="4"/>
      <c r="M86" s="4"/>
      <c r="N86" s="4"/>
      <c r="O86" s="3"/>
    </row>
    <row r="87" spans="1:19" ht="25.5" customHeight="1" thickBot="1">
      <c r="A87" s="833" t="s">
        <v>0</v>
      </c>
      <c r="B87" s="834"/>
      <c r="C87" s="834"/>
      <c r="D87" s="834"/>
      <c r="E87" s="834"/>
      <c r="F87" s="834"/>
      <c r="G87" s="834"/>
      <c r="H87" s="834"/>
      <c r="I87" s="834"/>
      <c r="J87" s="834"/>
      <c r="K87" s="834"/>
      <c r="L87" s="834"/>
      <c r="M87" s="559">
        <f>M34+M48+M66+M72+M85</f>
        <v>1189665.53</v>
      </c>
      <c r="N87" s="559">
        <f>N34+N48+N66+N72+N85</f>
        <v>312841.32999999996</v>
      </c>
      <c r="O87" s="559">
        <f>O34+O48+O66+O72+O85</f>
        <v>1502506.8599999999</v>
      </c>
      <c r="R87" s="328">
        <f>O87/(C7*C8)</f>
        <v>208.68150833333331</v>
      </c>
    </row>
    <row r="88" spans="1:19" ht="15" customHeight="1">
      <c r="A88" s="63" t="s">
        <v>140</v>
      </c>
      <c r="B88" s="56"/>
      <c r="C88" s="57"/>
      <c r="D88" s="57"/>
      <c r="E88" s="136"/>
      <c r="F88" s="57"/>
      <c r="G88" s="57"/>
      <c r="H88" s="57"/>
      <c r="I88" s="57"/>
      <c r="J88" s="57"/>
      <c r="K88" s="57"/>
      <c r="L88" s="57"/>
      <c r="M88" s="57"/>
      <c r="N88" s="57"/>
      <c r="O88" s="58"/>
    </row>
    <row r="89" spans="1:19" s="22" customFormat="1" ht="15" customHeight="1">
      <c r="A89" s="55" t="s">
        <v>141</v>
      </c>
      <c r="B89" s="49"/>
      <c r="C89" s="49"/>
      <c r="D89" s="64"/>
      <c r="E89" s="137"/>
      <c r="F89" s="64"/>
      <c r="G89" s="50"/>
      <c r="H89" s="50"/>
      <c r="I89" s="64"/>
      <c r="J89" s="59"/>
      <c r="K89" s="59"/>
      <c r="L89" s="59"/>
      <c r="M89" s="59"/>
      <c r="N89" s="59"/>
      <c r="O89" s="60"/>
      <c r="Q89" s="75"/>
      <c r="R89" s="75"/>
      <c r="S89" s="75"/>
    </row>
    <row r="90" spans="1:19" ht="15" customHeight="1">
      <c r="A90" s="55" t="s">
        <v>255</v>
      </c>
      <c r="B90" s="49"/>
      <c r="C90" s="49"/>
      <c r="D90" s="49"/>
      <c r="E90" s="138"/>
      <c r="F90" s="49"/>
      <c r="G90" s="50"/>
      <c r="H90" s="50"/>
      <c r="I90" s="49"/>
      <c r="J90" s="59"/>
      <c r="K90" s="59"/>
      <c r="L90" s="59"/>
      <c r="M90" s="59"/>
      <c r="N90" s="59"/>
      <c r="O90" s="60"/>
    </row>
    <row r="91" spans="1:19" ht="15" customHeight="1" thickBot="1">
      <c r="A91" s="314" t="s">
        <v>601</v>
      </c>
      <c r="B91" s="65"/>
      <c r="C91" s="65"/>
      <c r="D91" s="65"/>
      <c r="E91" s="139"/>
      <c r="F91" s="65"/>
      <c r="G91" s="66"/>
      <c r="H91" s="66"/>
      <c r="I91" s="65"/>
      <c r="J91" s="61"/>
      <c r="K91" s="61"/>
      <c r="L91" s="61"/>
      <c r="M91" s="61"/>
      <c r="N91" s="61"/>
      <c r="O91" s="62"/>
    </row>
    <row r="92" spans="1:19">
      <c r="A92" s="1"/>
      <c r="B92" s="1"/>
      <c r="E92" s="140"/>
    </row>
    <row r="93" spans="1:19">
      <c r="A93" s="1"/>
      <c r="B93" s="1"/>
      <c r="E93" s="140"/>
    </row>
    <row r="94" spans="1:19">
      <c r="A94" s="1"/>
      <c r="B94" s="1"/>
      <c r="E94" s="140"/>
    </row>
    <row r="95" spans="1:19">
      <c r="A95" s="1"/>
      <c r="B95" s="1"/>
      <c r="E95" s="140"/>
    </row>
  </sheetData>
  <sheetProtection selectLockedCells="1" selectUnlockedCells="1"/>
  <mergeCells count="17">
    <mergeCell ref="O9:O10"/>
    <mergeCell ref="A1:O4"/>
    <mergeCell ref="A9:A10"/>
    <mergeCell ref="B9:B10"/>
    <mergeCell ref="C9:F10"/>
    <mergeCell ref="G9:G10"/>
    <mergeCell ref="H9:H10"/>
    <mergeCell ref="A85:L85"/>
    <mergeCell ref="A87:L87"/>
    <mergeCell ref="M9:N9"/>
    <mergeCell ref="A34:L34"/>
    <mergeCell ref="A48:L48"/>
    <mergeCell ref="A66:L66"/>
    <mergeCell ref="A72:L72"/>
    <mergeCell ref="I9:I10"/>
    <mergeCell ref="J9:J10"/>
    <mergeCell ref="K9:L9"/>
  </mergeCells>
  <printOptions horizontalCentered="1"/>
  <pageMargins left="0.78740157480314965" right="0.78740157480314965" top="1.1811023622047245" bottom="0.98425196850393704" header="0.51181102362204722" footer="0.11811023622047245"/>
  <pageSetup paperSize="9" scale="49" fitToHeight="3" orientation="landscape" horizontalDpi="300" verticalDpi="300" r:id="rId1"/>
  <headerFooter alignWithMargins="0"/>
</worksheet>
</file>

<file path=xl/worksheets/sheet4.xml><?xml version="1.0" encoding="utf-8"?>
<worksheet xmlns="http://schemas.openxmlformats.org/spreadsheetml/2006/main" xmlns:r="http://schemas.openxmlformats.org/officeDocument/2006/relationships">
  <sheetPr>
    <tabColor theme="8" tint="-0.249977111117893"/>
    <pageSetUpPr fitToPage="1"/>
  </sheetPr>
  <dimension ref="A1:XEM256"/>
  <sheetViews>
    <sheetView tabSelected="1" zoomScale="90" zoomScaleNormal="90" workbookViewId="0">
      <selection activeCell="O94" sqref="O94"/>
    </sheetView>
  </sheetViews>
  <sheetFormatPr defaultRowHeight="12.75"/>
  <cols>
    <col min="1" max="1" width="10" style="48" customWidth="1"/>
    <col min="2" max="2" width="26.140625" style="48" customWidth="1"/>
    <col min="3" max="3" width="16.42578125" style="48" customWidth="1"/>
    <col min="4" max="4" width="15.28515625" style="48" customWidth="1"/>
    <col min="5" max="5" width="16.7109375" style="48" customWidth="1"/>
    <col min="6" max="6" width="18.140625" style="48" customWidth="1"/>
    <col min="7" max="7" width="16.7109375" style="48" customWidth="1"/>
    <col min="8" max="8" width="15.28515625" style="51" customWidth="1"/>
    <col min="9" max="9" width="8.85546875" style="48" bestFit="1" customWidth="1"/>
    <col min="10" max="10" width="38.28515625" style="52" customWidth="1"/>
    <col min="11" max="12" width="9.140625" style="48"/>
    <col min="13" max="13" width="10.42578125" style="48" bestFit="1" customWidth="1"/>
    <col min="14" max="239" width="9.140625" style="48"/>
    <col min="240" max="240" width="7.42578125" style="48" bestFit="1" customWidth="1"/>
    <col min="241" max="241" width="18.5703125" style="48" customWidth="1"/>
    <col min="242" max="245" width="15.28515625" style="48" customWidth="1"/>
    <col min="246" max="246" width="16.28515625" style="48" customWidth="1"/>
    <col min="247" max="247" width="15.28515625" style="48" customWidth="1"/>
    <col min="248" max="248" width="6.5703125" style="48" customWidth="1"/>
    <col min="249" max="249" width="27" style="48" customWidth="1"/>
    <col min="250" max="250" width="17" style="48" bestFit="1" customWidth="1"/>
    <col min="251" max="252" width="8.140625" style="48" customWidth="1"/>
    <col min="253" max="253" width="9.85546875" style="48" customWidth="1"/>
    <col min="254" max="254" width="13.7109375" style="48" bestFit="1" customWidth="1"/>
    <col min="255" max="256" width="9.140625" style="48"/>
    <col min="257" max="257" width="11.5703125" style="48" bestFit="1" customWidth="1"/>
    <col min="258" max="495" width="9.140625" style="48"/>
    <col min="496" max="496" width="7.42578125" style="48" bestFit="1" customWidth="1"/>
    <col min="497" max="497" width="18.5703125" style="48" customWidth="1"/>
    <col min="498" max="501" width="15.28515625" style="48" customWidth="1"/>
    <col min="502" max="502" width="16.28515625" style="48" customWidth="1"/>
    <col min="503" max="503" width="15.28515625" style="48" customWidth="1"/>
    <col min="504" max="504" width="6.5703125" style="48" customWidth="1"/>
    <col min="505" max="505" width="27" style="48" customWidth="1"/>
    <col min="506" max="506" width="17" style="48" bestFit="1" customWidth="1"/>
    <col min="507" max="508" width="8.140625" style="48" customWidth="1"/>
    <col min="509" max="509" width="9.85546875" style="48" customWidth="1"/>
    <col min="510" max="510" width="13.7109375" style="48" bestFit="1" customWidth="1"/>
    <col min="511" max="512" width="9.140625" style="48"/>
    <col min="513" max="513" width="11.5703125" style="48" bestFit="1" customWidth="1"/>
    <col min="514" max="751" width="9.140625" style="48"/>
    <col min="752" max="752" width="7.42578125" style="48" bestFit="1" customWidth="1"/>
    <col min="753" max="753" width="18.5703125" style="48" customWidth="1"/>
    <col min="754" max="757" width="15.28515625" style="48" customWidth="1"/>
    <col min="758" max="758" width="16.28515625" style="48" customWidth="1"/>
    <col min="759" max="759" width="15.28515625" style="48" customWidth="1"/>
    <col min="760" max="760" width="6.5703125" style="48" customWidth="1"/>
    <col min="761" max="761" width="27" style="48" customWidth="1"/>
    <col min="762" max="762" width="17" style="48" bestFit="1" customWidth="1"/>
    <col min="763" max="764" width="8.140625" style="48" customWidth="1"/>
    <col min="765" max="765" width="9.85546875" style="48" customWidth="1"/>
    <col min="766" max="766" width="13.7109375" style="48" bestFit="1" customWidth="1"/>
    <col min="767" max="768" width="9.140625" style="48"/>
    <col min="769" max="769" width="11.5703125" style="48" bestFit="1" customWidth="1"/>
    <col min="770" max="1007" width="9.140625" style="48"/>
    <col min="1008" max="1008" width="7.42578125" style="48" bestFit="1" customWidth="1"/>
    <col min="1009" max="1009" width="18.5703125" style="48" customWidth="1"/>
    <col min="1010" max="1013" width="15.28515625" style="48" customWidth="1"/>
    <col min="1014" max="1014" width="16.28515625" style="48" customWidth="1"/>
    <col min="1015" max="1015" width="15.28515625" style="48" customWidth="1"/>
    <col min="1016" max="1016" width="6.5703125" style="48" customWidth="1"/>
    <col min="1017" max="1017" width="27" style="48" customWidth="1"/>
    <col min="1018" max="1018" width="17" style="48" bestFit="1" customWidth="1"/>
    <col min="1019" max="1020" width="8.140625" style="48" customWidth="1"/>
    <col min="1021" max="1021" width="9.85546875" style="48" customWidth="1"/>
    <col min="1022" max="1022" width="13.7109375" style="48" bestFit="1" customWidth="1"/>
    <col min="1023" max="1024" width="9.140625" style="48"/>
    <col min="1025" max="1025" width="11.5703125" style="48" bestFit="1" customWidth="1"/>
    <col min="1026" max="1263" width="9.140625" style="48"/>
    <col min="1264" max="1264" width="7.42578125" style="48" bestFit="1" customWidth="1"/>
    <col min="1265" max="1265" width="18.5703125" style="48" customWidth="1"/>
    <col min="1266" max="1269" width="15.28515625" style="48" customWidth="1"/>
    <col min="1270" max="1270" width="16.28515625" style="48" customWidth="1"/>
    <col min="1271" max="1271" width="15.28515625" style="48" customWidth="1"/>
    <col min="1272" max="1272" width="6.5703125" style="48" customWidth="1"/>
    <col min="1273" max="1273" width="27" style="48" customWidth="1"/>
    <col min="1274" max="1274" width="17" style="48" bestFit="1" customWidth="1"/>
    <col min="1275" max="1276" width="8.140625" style="48" customWidth="1"/>
    <col min="1277" max="1277" width="9.85546875" style="48" customWidth="1"/>
    <col min="1278" max="1278" width="13.7109375" style="48" bestFit="1" customWidth="1"/>
    <col min="1279" max="1280" width="9.140625" style="48"/>
    <col min="1281" max="1281" width="11.5703125" style="48" bestFit="1" customWidth="1"/>
    <col min="1282" max="1519" width="9.140625" style="48"/>
    <col min="1520" max="1520" width="7.42578125" style="48" bestFit="1" customWidth="1"/>
    <col min="1521" max="1521" width="18.5703125" style="48" customWidth="1"/>
    <col min="1522" max="1525" width="15.28515625" style="48" customWidth="1"/>
    <col min="1526" max="1526" width="16.28515625" style="48" customWidth="1"/>
    <col min="1527" max="1527" width="15.28515625" style="48" customWidth="1"/>
    <col min="1528" max="1528" width="6.5703125" style="48" customWidth="1"/>
    <col min="1529" max="1529" width="27" style="48" customWidth="1"/>
    <col min="1530" max="1530" width="17" style="48" bestFit="1" customWidth="1"/>
    <col min="1531" max="1532" width="8.140625" style="48" customWidth="1"/>
    <col min="1533" max="1533" width="9.85546875" style="48" customWidth="1"/>
    <col min="1534" max="1534" width="13.7109375" style="48" bestFit="1" customWidth="1"/>
    <col min="1535" max="1536" width="9.140625" style="48"/>
    <col min="1537" max="1537" width="11.5703125" style="48" bestFit="1" customWidth="1"/>
    <col min="1538" max="1775" width="9.140625" style="48"/>
    <col min="1776" max="1776" width="7.42578125" style="48" bestFit="1" customWidth="1"/>
    <col min="1777" max="1777" width="18.5703125" style="48" customWidth="1"/>
    <col min="1778" max="1781" width="15.28515625" style="48" customWidth="1"/>
    <col min="1782" max="1782" width="16.28515625" style="48" customWidth="1"/>
    <col min="1783" max="1783" width="15.28515625" style="48" customWidth="1"/>
    <col min="1784" max="1784" width="6.5703125" style="48" customWidth="1"/>
    <col min="1785" max="1785" width="27" style="48" customWidth="1"/>
    <col min="1786" max="1786" width="17" style="48" bestFit="1" customWidth="1"/>
    <col min="1787" max="1788" width="8.140625" style="48" customWidth="1"/>
    <col min="1789" max="1789" width="9.85546875" style="48" customWidth="1"/>
    <col min="1790" max="1790" width="13.7109375" style="48" bestFit="1" customWidth="1"/>
    <col min="1791" max="1792" width="9.140625" style="48"/>
    <col min="1793" max="1793" width="11.5703125" style="48" bestFit="1" customWidth="1"/>
    <col min="1794" max="2031" width="9.140625" style="48"/>
    <col min="2032" max="2032" width="7.42578125" style="48" bestFit="1" customWidth="1"/>
    <col min="2033" max="2033" width="18.5703125" style="48" customWidth="1"/>
    <col min="2034" max="2037" width="15.28515625" style="48" customWidth="1"/>
    <col min="2038" max="2038" width="16.28515625" style="48" customWidth="1"/>
    <col min="2039" max="2039" width="15.28515625" style="48" customWidth="1"/>
    <col min="2040" max="2040" width="6.5703125" style="48" customWidth="1"/>
    <col min="2041" max="2041" width="27" style="48" customWidth="1"/>
    <col min="2042" max="2042" width="17" style="48" bestFit="1" customWidth="1"/>
    <col min="2043" max="2044" width="8.140625" style="48" customWidth="1"/>
    <col min="2045" max="2045" width="9.85546875" style="48" customWidth="1"/>
    <col min="2046" max="2046" width="13.7109375" style="48" bestFit="1" customWidth="1"/>
    <col min="2047" max="2048" width="9.140625" style="48"/>
    <col min="2049" max="2049" width="11.5703125" style="48" bestFit="1" customWidth="1"/>
    <col min="2050" max="2287" width="9.140625" style="48"/>
    <col min="2288" max="2288" width="7.42578125" style="48" bestFit="1" customWidth="1"/>
    <col min="2289" max="2289" width="18.5703125" style="48" customWidth="1"/>
    <col min="2290" max="2293" width="15.28515625" style="48" customWidth="1"/>
    <col min="2294" max="2294" width="16.28515625" style="48" customWidth="1"/>
    <col min="2295" max="2295" width="15.28515625" style="48" customWidth="1"/>
    <col min="2296" max="2296" width="6.5703125" style="48" customWidth="1"/>
    <col min="2297" max="2297" width="27" style="48" customWidth="1"/>
    <col min="2298" max="2298" width="17" style="48" bestFit="1" customWidth="1"/>
    <col min="2299" max="2300" width="8.140625" style="48" customWidth="1"/>
    <col min="2301" max="2301" width="9.85546875" style="48" customWidth="1"/>
    <col min="2302" max="2302" width="13.7109375" style="48" bestFit="1" customWidth="1"/>
    <col min="2303" max="2304" width="9.140625" style="48"/>
    <col min="2305" max="2305" width="11.5703125" style="48" bestFit="1" customWidth="1"/>
    <col min="2306" max="2543" width="9.140625" style="48"/>
    <col min="2544" max="2544" width="7.42578125" style="48" bestFit="1" customWidth="1"/>
    <col min="2545" max="2545" width="18.5703125" style="48" customWidth="1"/>
    <col min="2546" max="2549" width="15.28515625" style="48" customWidth="1"/>
    <col min="2550" max="2550" width="16.28515625" style="48" customWidth="1"/>
    <col min="2551" max="2551" width="15.28515625" style="48" customWidth="1"/>
    <col min="2552" max="2552" width="6.5703125" style="48" customWidth="1"/>
    <col min="2553" max="2553" width="27" style="48" customWidth="1"/>
    <col min="2554" max="2554" width="17" style="48" bestFit="1" customWidth="1"/>
    <col min="2555" max="2556" width="8.140625" style="48" customWidth="1"/>
    <col min="2557" max="2557" width="9.85546875" style="48" customWidth="1"/>
    <col min="2558" max="2558" width="13.7109375" style="48" bestFit="1" customWidth="1"/>
    <col min="2559" max="2560" width="9.140625" style="48"/>
    <col min="2561" max="2561" width="11.5703125" style="48" bestFit="1" customWidth="1"/>
    <col min="2562" max="2799" width="9.140625" style="48"/>
    <col min="2800" max="2800" width="7.42578125" style="48" bestFit="1" customWidth="1"/>
    <col min="2801" max="2801" width="18.5703125" style="48" customWidth="1"/>
    <col min="2802" max="2805" width="15.28515625" style="48" customWidth="1"/>
    <col min="2806" max="2806" width="16.28515625" style="48" customWidth="1"/>
    <col min="2807" max="2807" width="15.28515625" style="48" customWidth="1"/>
    <col min="2808" max="2808" width="6.5703125" style="48" customWidth="1"/>
    <col min="2809" max="2809" width="27" style="48" customWidth="1"/>
    <col min="2810" max="2810" width="17" style="48" bestFit="1" customWidth="1"/>
    <col min="2811" max="2812" width="8.140625" style="48" customWidth="1"/>
    <col min="2813" max="2813" width="9.85546875" style="48" customWidth="1"/>
    <col min="2814" max="2814" width="13.7109375" style="48" bestFit="1" customWidth="1"/>
    <col min="2815" max="2816" width="9.140625" style="48"/>
    <col min="2817" max="2817" width="11.5703125" style="48" bestFit="1" customWidth="1"/>
    <col min="2818" max="3055" width="9.140625" style="48"/>
    <col min="3056" max="3056" width="7.42578125" style="48" bestFit="1" customWidth="1"/>
    <col min="3057" max="3057" width="18.5703125" style="48" customWidth="1"/>
    <col min="3058" max="3061" width="15.28515625" style="48" customWidth="1"/>
    <col min="3062" max="3062" width="16.28515625" style="48" customWidth="1"/>
    <col min="3063" max="3063" width="15.28515625" style="48" customWidth="1"/>
    <col min="3064" max="3064" width="6.5703125" style="48" customWidth="1"/>
    <col min="3065" max="3065" width="27" style="48" customWidth="1"/>
    <col min="3066" max="3066" width="17" style="48" bestFit="1" customWidth="1"/>
    <col min="3067" max="3068" width="8.140625" style="48" customWidth="1"/>
    <col min="3069" max="3069" width="9.85546875" style="48" customWidth="1"/>
    <col min="3070" max="3070" width="13.7109375" style="48" bestFit="1" customWidth="1"/>
    <col min="3071" max="3072" width="9.140625" style="48"/>
    <col min="3073" max="3073" width="11.5703125" style="48" bestFit="1" customWidth="1"/>
    <col min="3074" max="3311" width="9.140625" style="48"/>
    <col min="3312" max="3312" width="7.42578125" style="48" bestFit="1" customWidth="1"/>
    <col min="3313" max="3313" width="18.5703125" style="48" customWidth="1"/>
    <col min="3314" max="3317" width="15.28515625" style="48" customWidth="1"/>
    <col min="3318" max="3318" width="16.28515625" style="48" customWidth="1"/>
    <col min="3319" max="3319" width="15.28515625" style="48" customWidth="1"/>
    <col min="3320" max="3320" width="6.5703125" style="48" customWidth="1"/>
    <col min="3321" max="3321" width="27" style="48" customWidth="1"/>
    <col min="3322" max="3322" width="17" style="48" bestFit="1" customWidth="1"/>
    <col min="3323" max="3324" width="8.140625" style="48" customWidth="1"/>
    <col min="3325" max="3325" width="9.85546875" style="48" customWidth="1"/>
    <col min="3326" max="3326" width="13.7109375" style="48" bestFit="1" customWidth="1"/>
    <col min="3327" max="3328" width="9.140625" style="48"/>
    <col min="3329" max="3329" width="11.5703125" style="48" bestFit="1" customWidth="1"/>
    <col min="3330" max="3567" width="9.140625" style="48"/>
    <col min="3568" max="3568" width="7.42578125" style="48" bestFit="1" customWidth="1"/>
    <col min="3569" max="3569" width="18.5703125" style="48" customWidth="1"/>
    <col min="3570" max="3573" width="15.28515625" style="48" customWidth="1"/>
    <col min="3574" max="3574" width="16.28515625" style="48" customWidth="1"/>
    <col min="3575" max="3575" width="15.28515625" style="48" customWidth="1"/>
    <col min="3576" max="3576" width="6.5703125" style="48" customWidth="1"/>
    <col min="3577" max="3577" width="27" style="48" customWidth="1"/>
    <col min="3578" max="3578" width="17" style="48" bestFit="1" customWidth="1"/>
    <col min="3579" max="3580" width="8.140625" style="48" customWidth="1"/>
    <col min="3581" max="3581" width="9.85546875" style="48" customWidth="1"/>
    <col min="3582" max="3582" width="13.7109375" style="48" bestFit="1" customWidth="1"/>
    <col min="3583" max="3584" width="9.140625" style="48"/>
    <col min="3585" max="3585" width="11.5703125" style="48" bestFit="1" customWidth="1"/>
    <col min="3586" max="3823" width="9.140625" style="48"/>
    <col min="3824" max="3824" width="7.42578125" style="48" bestFit="1" customWidth="1"/>
    <col min="3825" max="3825" width="18.5703125" style="48" customWidth="1"/>
    <col min="3826" max="3829" width="15.28515625" style="48" customWidth="1"/>
    <col min="3830" max="3830" width="16.28515625" style="48" customWidth="1"/>
    <col min="3831" max="3831" width="15.28515625" style="48" customWidth="1"/>
    <col min="3832" max="3832" width="6.5703125" style="48" customWidth="1"/>
    <col min="3833" max="3833" width="27" style="48" customWidth="1"/>
    <col min="3834" max="3834" width="17" style="48" bestFit="1" customWidth="1"/>
    <col min="3835" max="3836" width="8.140625" style="48" customWidth="1"/>
    <col min="3837" max="3837" width="9.85546875" style="48" customWidth="1"/>
    <col min="3838" max="3838" width="13.7109375" style="48" bestFit="1" customWidth="1"/>
    <col min="3839" max="3840" width="9.140625" style="48"/>
    <col min="3841" max="3841" width="11.5703125" style="48" bestFit="1" customWidth="1"/>
    <col min="3842" max="4079" width="9.140625" style="48"/>
    <col min="4080" max="4080" width="7.42578125" style="48" bestFit="1" customWidth="1"/>
    <col min="4081" max="4081" width="18.5703125" style="48" customWidth="1"/>
    <col min="4082" max="4085" width="15.28515625" style="48" customWidth="1"/>
    <col min="4086" max="4086" width="16.28515625" style="48" customWidth="1"/>
    <col min="4087" max="4087" width="15.28515625" style="48" customWidth="1"/>
    <col min="4088" max="4088" width="6.5703125" style="48" customWidth="1"/>
    <col min="4089" max="4089" width="27" style="48" customWidth="1"/>
    <col min="4090" max="4090" width="17" style="48" bestFit="1" customWidth="1"/>
    <col min="4091" max="4092" width="8.140625" style="48" customWidth="1"/>
    <col min="4093" max="4093" width="9.85546875" style="48" customWidth="1"/>
    <col min="4094" max="4094" width="13.7109375" style="48" bestFit="1" customWidth="1"/>
    <col min="4095" max="4096" width="9.140625" style="48"/>
    <col min="4097" max="4097" width="11.5703125" style="48" bestFit="1" customWidth="1"/>
    <col min="4098" max="4335" width="9.140625" style="48"/>
    <col min="4336" max="4336" width="7.42578125" style="48" bestFit="1" customWidth="1"/>
    <col min="4337" max="4337" width="18.5703125" style="48" customWidth="1"/>
    <col min="4338" max="4341" width="15.28515625" style="48" customWidth="1"/>
    <col min="4342" max="4342" width="16.28515625" style="48" customWidth="1"/>
    <col min="4343" max="4343" width="15.28515625" style="48" customWidth="1"/>
    <col min="4344" max="4344" width="6.5703125" style="48" customWidth="1"/>
    <col min="4345" max="4345" width="27" style="48" customWidth="1"/>
    <col min="4346" max="4346" width="17" style="48" bestFit="1" customWidth="1"/>
    <col min="4347" max="4348" width="8.140625" style="48" customWidth="1"/>
    <col min="4349" max="4349" width="9.85546875" style="48" customWidth="1"/>
    <col min="4350" max="4350" width="13.7109375" style="48" bestFit="1" customWidth="1"/>
    <col min="4351" max="4352" width="9.140625" style="48"/>
    <col min="4353" max="4353" width="11.5703125" style="48" bestFit="1" customWidth="1"/>
    <col min="4354" max="4591" width="9.140625" style="48"/>
    <col min="4592" max="4592" width="7.42578125" style="48" bestFit="1" customWidth="1"/>
    <col min="4593" max="4593" width="18.5703125" style="48" customWidth="1"/>
    <col min="4594" max="4597" width="15.28515625" style="48" customWidth="1"/>
    <col min="4598" max="4598" width="16.28515625" style="48" customWidth="1"/>
    <col min="4599" max="4599" width="15.28515625" style="48" customWidth="1"/>
    <col min="4600" max="4600" width="6.5703125" style="48" customWidth="1"/>
    <col min="4601" max="4601" width="27" style="48" customWidth="1"/>
    <col min="4602" max="4602" width="17" style="48" bestFit="1" customWidth="1"/>
    <col min="4603" max="4604" width="8.140625" style="48" customWidth="1"/>
    <col min="4605" max="4605" width="9.85546875" style="48" customWidth="1"/>
    <col min="4606" max="4606" width="13.7109375" style="48" bestFit="1" customWidth="1"/>
    <col min="4607" max="4608" width="9.140625" style="48"/>
    <col min="4609" max="4609" width="11.5703125" style="48" bestFit="1" customWidth="1"/>
    <col min="4610" max="4847" width="9.140625" style="48"/>
    <col min="4848" max="4848" width="7.42578125" style="48" bestFit="1" customWidth="1"/>
    <col min="4849" max="4849" width="18.5703125" style="48" customWidth="1"/>
    <col min="4850" max="4853" width="15.28515625" style="48" customWidth="1"/>
    <col min="4854" max="4854" width="16.28515625" style="48" customWidth="1"/>
    <col min="4855" max="4855" width="15.28515625" style="48" customWidth="1"/>
    <col min="4856" max="4856" width="6.5703125" style="48" customWidth="1"/>
    <col min="4857" max="4857" width="27" style="48" customWidth="1"/>
    <col min="4858" max="4858" width="17" style="48" bestFit="1" customWidth="1"/>
    <col min="4859" max="4860" width="8.140625" style="48" customWidth="1"/>
    <col min="4861" max="4861" width="9.85546875" style="48" customWidth="1"/>
    <col min="4862" max="4862" width="13.7109375" style="48" bestFit="1" customWidth="1"/>
    <col min="4863" max="4864" width="9.140625" style="48"/>
    <col min="4865" max="4865" width="11.5703125" style="48" bestFit="1" customWidth="1"/>
    <col min="4866" max="5103" width="9.140625" style="48"/>
    <col min="5104" max="5104" width="7.42578125" style="48" bestFit="1" customWidth="1"/>
    <col min="5105" max="5105" width="18.5703125" style="48" customWidth="1"/>
    <col min="5106" max="5109" width="15.28515625" style="48" customWidth="1"/>
    <col min="5110" max="5110" width="16.28515625" style="48" customWidth="1"/>
    <col min="5111" max="5111" width="15.28515625" style="48" customWidth="1"/>
    <col min="5112" max="5112" width="6.5703125" style="48" customWidth="1"/>
    <col min="5113" max="5113" width="27" style="48" customWidth="1"/>
    <col min="5114" max="5114" width="17" style="48" bestFit="1" customWidth="1"/>
    <col min="5115" max="5116" width="8.140625" style="48" customWidth="1"/>
    <col min="5117" max="5117" width="9.85546875" style="48" customWidth="1"/>
    <col min="5118" max="5118" width="13.7109375" style="48" bestFit="1" customWidth="1"/>
    <col min="5119" max="5120" width="9.140625" style="48"/>
    <col min="5121" max="5121" width="11.5703125" style="48" bestFit="1" customWidth="1"/>
    <col min="5122" max="5359" width="9.140625" style="48"/>
    <col min="5360" max="5360" width="7.42578125" style="48" bestFit="1" customWidth="1"/>
    <col min="5361" max="5361" width="18.5703125" style="48" customWidth="1"/>
    <col min="5362" max="5365" width="15.28515625" style="48" customWidth="1"/>
    <col min="5366" max="5366" width="16.28515625" style="48" customWidth="1"/>
    <col min="5367" max="5367" width="15.28515625" style="48" customWidth="1"/>
    <col min="5368" max="5368" width="6.5703125" style="48" customWidth="1"/>
    <col min="5369" max="5369" width="27" style="48" customWidth="1"/>
    <col min="5370" max="5370" width="17" style="48" bestFit="1" customWidth="1"/>
    <col min="5371" max="5372" width="8.140625" style="48" customWidth="1"/>
    <col min="5373" max="5373" width="9.85546875" style="48" customWidth="1"/>
    <col min="5374" max="5374" width="13.7109375" style="48" bestFit="1" customWidth="1"/>
    <col min="5375" max="5376" width="9.140625" style="48"/>
    <col min="5377" max="5377" width="11.5703125" style="48" bestFit="1" customWidth="1"/>
    <col min="5378" max="5615" width="9.140625" style="48"/>
    <col min="5616" max="5616" width="7.42578125" style="48" bestFit="1" customWidth="1"/>
    <col min="5617" max="5617" width="18.5703125" style="48" customWidth="1"/>
    <col min="5618" max="5621" width="15.28515625" style="48" customWidth="1"/>
    <col min="5622" max="5622" width="16.28515625" style="48" customWidth="1"/>
    <col min="5623" max="5623" width="15.28515625" style="48" customWidth="1"/>
    <col min="5624" max="5624" width="6.5703125" style="48" customWidth="1"/>
    <col min="5625" max="5625" width="27" style="48" customWidth="1"/>
    <col min="5626" max="5626" width="17" style="48" bestFit="1" customWidth="1"/>
    <col min="5627" max="5628" width="8.140625" style="48" customWidth="1"/>
    <col min="5629" max="5629" width="9.85546875" style="48" customWidth="1"/>
    <col min="5630" max="5630" width="13.7109375" style="48" bestFit="1" customWidth="1"/>
    <col min="5631" max="5632" width="9.140625" style="48"/>
    <col min="5633" max="5633" width="11.5703125" style="48" bestFit="1" customWidth="1"/>
    <col min="5634" max="5871" width="9.140625" style="48"/>
    <col min="5872" max="5872" width="7.42578125" style="48" bestFit="1" customWidth="1"/>
    <col min="5873" max="5873" width="18.5703125" style="48" customWidth="1"/>
    <col min="5874" max="5877" width="15.28515625" style="48" customWidth="1"/>
    <col min="5878" max="5878" width="16.28515625" style="48" customWidth="1"/>
    <col min="5879" max="5879" width="15.28515625" style="48" customWidth="1"/>
    <col min="5880" max="5880" width="6.5703125" style="48" customWidth="1"/>
    <col min="5881" max="5881" width="27" style="48" customWidth="1"/>
    <col min="5882" max="5882" width="17" style="48" bestFit="1" customWidth="1"/>
    <col min="5883" max="5884" width="8.140625" style="48" customWidth="1"/>
    <col min="5885" max="5885" width="9.85546875" style="48" customWidth="1"/>
    <col min="5886" max="5886" width="13.7109375" style="48" bestFit="1" customWidth="1"/>
    <col min="5887" max="5888" width="9.140625" style="48"/>
    <col min="5889" max="5889" width="11.5703125" style="48" bestFit="1" customWidth="1"/>
    <col min="5890" max="6127" width="9.140625" style="48"/>
    <col min="6128" max="6128" width="7.42578125" style="48" bestFit="1" customWidth="1"/>
    <col min="6129" max="6129" width="18.5703125" style="48" customWidth="1"/>
    <col min="6130" max="6133" width="15.28515625" style="48" customWidth="1"/>
    <col min="6134" max="6134" width="16.28515625" style="48" customWidth="1"/>
    <col min="6135" max="6135" width="15.28515625" style="48" customWidth="1"/>
    <col min="6136" max="6136" width="6.5703125" style="48" customWidth="1"/>
    <col min="6137" max="6137" width="27" style="48" customWidth="1"/>
    <col min="6138" max="6138" width="17" style="48" bestFit="1" customWidth="1"/>
    <col min="6139" max="6140" width="8.140625" style="48" customWidth="1"/>
    <col min="6141" max="6141" width="9.85546875" style="48" customWidth="1"/>
    <col min="6142" max="6142" width="13.7109375" style="48" bestFit="1" customWidth="1"/>
    <col min="6143" max="6144" width="9.140625" style="48"/>
    <col min="6145" max="6145" width="11.5703125" style="48" bestFit="1" customWidth="1"/>
    <col min="6146" max="6383" width="9.140625" style="48"/>
    <col min="6384" max="6384" width="7.42578125" style="48" bestFit="1" customWidth="1"/>
    <col min="6385" max="6385" width="18.5703125" style="48" customWidth="1"/>
    <col min="6386" max="6389" width="15.28515625" style="48" customWidth="1"/>
    <col min="6390" max="6390" width="16.28515625" style="48" customWidth="1"/>
    <col min="6391" max="6391" width="15.28515625" style="48" customWidth="1"/>
    <col min="6392" max="6392" width="6.5703125" style="48" customWidth="1"/>
    <col min="6393" max="6393" width="27" style="48" customWidth="1"/>
    <col min="6394" max="6394" width="17" style="48" bestFit="1" customWidth="1"/>
    <col min="6395" max="6396" width="8.140625" style="48" customWidth="1"/>
    <col min="6397" max="6397" width="9.85546875" style="48" customWidth="1"/>
    <col min="6398" max="6398" width="13.7109375" style="48" bestFit="1" customWidth="1"/>
    <col min="6399" max="6400" width="9.140625" style="48"/>
    <col min="6401" max="6401" width="11.5703125" style="48" bestFit="1" customWidth="1"/>
    <col min="6402" max="6639" width="9.140625" style="48"/>
    <col min="6640" max="6640" width="7.42578125" style="48" bestFit="1" customWidth="1"/>
    <col min="6641" max="6641" width="18.5703125" style="48" customWidth="1"/>
    <col min="6642" max="6645" width="15.28515625" style="48" customWidth="1"/>
    <col min="6646" max="6646" width="16.28515625" style="48" customWidth="1"/>
    <col min="6647" max="6647" width="15.28515625" style="48" customWidth="1"/>
    <col min="6648" max="6648" width="6.5703125" style="48" customWidth="1"/>
    <col min="6649" max="6649" width="27" style="48" customWidth="1"/>
    <col min="6650" max="6650" width="17" style="48" bestFit="1" customWidth="1"/>
    <col min="6651" max="6652" width="8.140625" style="48" customWidth="1"/>
    <col min="6653" max="6653" width="9.85546875" style="48" customWidth="1"/>
    <col min="6654" max="6654" width="13.7109375" style="48" bestFit="1" customWidth="1"/>
    <col min="6655" max="6656" width="9.140625" style="48"/>
    <col min="6657" max="6657" width="11.5703125" style="48" bestFit="1" customWidth="1"/>
    <col min="6658" max="6895" width="9.140625" style="48"/>
    <col min="6896" max="6896" width="7.42578125" style="48" bestFit="1" customWidth="1"/>
    <col min="6897" max="6897" width="18.5703125" style="48" customWidth="1"/>
    <col min="6898" max="6901" width="15.28515625" style="48" customWidth="1"/>
    <col min="6902" max="6902" width="16.28515625" style="48" customWidth="1"/>
    <col min="6903" max="6903" width="15.28515625" style="48" customWidth="1"/>
    <col min="6904" max="6904" width="6.5703125" style="48" customWidth="1"/>
    <col min="6905" max="6905" width="27" style="48" customWidth="1"/>
    <col min="6906" max="6906" width="17" style="48" bestFit="1" customWidth="1"/>
    <col min="6907" max="6908" width="8.140625" style="48" customWidth="1"/>
    <col min="6909" max="6909" width="9.85546875" style="48" customWidth="1"/>
    <col min="6910" max="6910" width="13.7109375" style="48" bestFit="1" customWidth="1"/>
    <col min="6911" max="6912" width="9.140625" style="48"/>
    <col min="6913" max="6913" width="11.5703125" style="48" bestFit="1" customWidth="1"/>
    <col min="6914" max="7151" width="9.140625" style="48"/>
    <col min="7152" max="7152" width="7.42578125" style="48" bestFit="1" customWidth="1"/>
    <col min="7153" max="7153" width="18.5703125" style="48" customWidth="1"/>
    <col min="7154" max="7157" width="15.28515625" style="48" customWidth="1"/>
    <col min="7158" max="7158" width="16.28515625" style="48" customWidth="1"/>
    <col min="7159" max="7159" width="15.28515625" style="48" customWidth="1"/>
    <col min="7160" max="7160" width="6.5703125" style="48" customWidth="1"/>
    <col min="7161" max="7161" width="27" style="48" customWidth="1"/>
    <col min="7162" max="7162" width="17" style="48" bestFit="1" customWidth="1"/>
    <col min="7163" max="7164" width="8.140625" style="48" customWidth="1"/>
    <col min="7165" max="7165" width="9.85546875" style="48" customWidth="1"/>
    <col min="7166" max="7166" width="13.7109375" style="48" bestFit="1" customWidth="1"/>
    <col min="7167" max="7168" width="9.140625" style="48"/>
    <col min="7169" max="7169" width="11.5703125" style="48" bestFit="1" customWidth="1"/>
    <col min="7170" max="7407" width="9.140625" style="48"/>
    <col min="7408" max="7408" width="7.42578125" style="48" bestFit="1" customWidth="1"/>
    <col min="7409" max="7409" width="18.5703125" style="48" customWidth="1"/>
    <col min="7410" max="7413" width="15.28515625" style="48" customWidth="1"/>
    <col min="7414" max="7414" width="16.28515625" style="48" customWidth="1"/>
    <col min="7415" max="7415" width="15.28515625" style="48" customWidth="1"/>
    <col min="7416" max="7416" width="6.5703125" style="48" customWidth="1"/>
    <col min="7417" max="7417" width="27" style="48" customWidth="1"/>
    <col min="7418" max="7418" width="17" style="48" bestFit="1" customWidth="1"/>
    <col min="7419" max="7420" width="8.140625" style="48" customWidth="1"/>
    <col min="7421" max="7421" width="9.85546875" style="48" customWidth="1"/>
    <col min="7422" max="7422" width="13.7109375" style="48" bestFit="1" customWidth="1"/>
    <col min="7423" max="7424" width="9.140625" style="48"/>
    <col min="7425" max="7425" width="11.5703125" style="48" bestFit="1" customWidth="1"/>
    <col min="7426" max="7663" width="9.140625" style="48"/>
    <col min="7664" max="7664" width="7.42578125" style="48" bestFit="1" customWidth="1"/>
    <col min="7665" max="7665" width="18.5703125" style="48" customWidth="1"/>
    <col min="7666" max="7669" width="15.28515625" style="48" customWidth="1"/>
    <col min="7670" max="7670" width="16.28515625" style="48" customWidth="1"/>
    <col min="7671" max="7671" width="15.28515625" style="48" customWidth="1"/>
    <col min="7672" max="7672" width="6.5703125" style="48" customWidth="1"/>
    <col min="7673" max="7673" width="27" style="48" customWidth="1"/>
    <col min="7674" max="7674" width="17" style="48" bestFit="1" customWidth="1"/>
    <col min="7675" max="7676" width="8.140625" style="48" customWidth="1"/>
    <col min="7677" max="7677" width="9.85546875" style="48" customWidth="1"/>
    <col min="7678" max="7678" width="13.7109375" style="48" bestFit="1" customWidth="1"/>
    <col min="7679" max="7680" width="9.140625" style="48"/>
    <col min="7681" max="7681" width="11.5703125" style="48" bestFit="1" customWidth="1"/>
    <col min="7682" max="7919" width="9.140625" style="48"/>
    <col min="7920" max="7920" width="7.42578125" style="48" bestFit="1" customWidth="1"/>
    <col min="7921" max="7921" width="18.5703125" style="48" customWidth="1"/>
    <col min="7922" max="7925" width="15.28515625" style="48" customWidth="1"/>
    <col min="7926" max="7926" width="16.28515625" style="48" customWidth="1"/>
    <col min="7927" max="7927" width="15.28515625" style="48" customWidth="1"/>
    <col min="7928" max="7928" width="6.5703125" style="48" customWidth="1"/>
    <col min="7929" max="7929" width="27" style="48" customWidth="1"/>
    <col min="7930" max="7930" width="17" style="48" bestFit="1" customWidth="1"/>
    <col min="7931" max="7932" width="8.140625" style="48" customWidth="1"/>
    <col min="7933" max="7933" width="9.85546875" style="48" customWidth="1"/>
    <col min="7934" max="7934" width="13.7109375" style="48" bestFit="1" customWidth="1"/>
    <col min="7935" max="7936" width="9.140625" style="48"/>
    <col min="7937" max="7937" width="11.5703125" style="48" bestFit="1" customWidth="1"/>
    <col min="7938" max="8175" width="9.140625" style="48"/>
    <col min="8176" max="8176" width="7.42578125" style="48" bestFit="1" customWidth="1"/>
    <col min="8177" max="8177" width="18.5703125" style="48" customWidth="1"/>
    <col min="8178" max="8181" width="15.28515625" style="48" customWidth="1"/>
    <col min="8182" max="8182" width="16.28515625" style="48" customWidth="1"/>
    <col min="8183" max="8183" width="15.28515625" style="48" customWidth="1"/>
    <col min="8184" max="8184" width="6.5703125" style="48" customWidth="1"/>
    <col min="8185" max="8185" width="27" style="48" customWidth="1"/>
    <col min="8186" max="8186" width="17" style="48" bestFit="1" customWidth="1"/>
    <col min="8187" max="8188" width="8.140625" style="48" customWidth="1"/>
    <col min="8189" max="8189" width="9.85546875" style="48" customWidth="1"/>
    <col min="8190" max="8190" width="13.7109375" style="48" bestFit="1" customWidth="1"/>
    <col min="8191" max="8192" width="9.140625" style="48"/>
    <col min="8193" max="8193" width="11.5703125" style="48" bestFit="1" customWidth="1"/>
    <col min="8194" max="8431" width="9.140625" style="48"/>
    <col min="8432" max="8432" width="7.42578125" style="48" bestFit="1" customWidth="1"/>
    <col min="8433" max="8433" width="18.5703125" style="48" customWidth="1"/>
    <col min="8434" max="8437" width="15.28515625" style="48" customWidth="1"/>
    <col min="8438" max="8438" width="16.28515625" style="48" customWidth="1"/>
    <col min="8439" max="8439" width="15.28515625" style="48" customWidth="1"/>
    <col min="8440" max="8440" width="6.5703125" style="48" customWidth="1"/>
    <col min="8441" max="8441" width="27" style="48" customWidth="1"/>
    <col min="8442" max="8442" width="17" style="48" bestFit="1" customWidth="1"/>
    <col min="8443" max="8444" width="8.140625" style="48" customWidth="1"/>
    <col min="8445" max="8445" width="9.85546875" style="48" customWidth="1"/>
    <col min="8446" max="8446" width="13.7109375" style="48" bestFit="1" customWidth="1"/>
    <col min="8447" max="8448" width="9.140625" style="48"/>
    <col min="8449" max="8449" width="11.5703125" style="48" bestFit="1" customWidth="1"/>
    <col min="8450" max="8687" width="9.140625" style="48"/>
    <col min="8688" max="8688" width="7.42578125" style="48" bestFit="1" customWidth="1"/>
    <col min="8689" max="8689" width="18.5703125" style="48" customWidth="1"/>
    <col min="8690" max="8693" width="15.28515625" style="48" customWidth="1"/>
    <col min="8694" max="8694" width="16.28515625" style="48" customWidth="1"/>
    <col min="8695" max="8695" width="15.28515625" style="48" customWidth="1"/>
    <col min="8696" max="8696" width="6.5703125" style="48" customWidth="1"/>
    <col min="8697" max="8697" width="27" style="48" customWidth="1"/>
    <col min="8698" max="8698" width="17" style="48" bestFit="1" customWidth="1"/>
    <col min="8699" max="8700" width="8.140625" style="48" customWidth="1"/>
    <col min="8701" max="8701" width="9.85546875" style="48" customWidth="1"/>
    <col min="8702" max="8702" width="13.7109375" style="48" bestFit="1" customWidth="1"/>
    <col min="8703" max="8704" width="9.140625" style="48"/>
    <col min="8705" max="8705" width="11.5703125" style="48" bestFit="1" customWidth="1"/>
    <col min="8706" max="8943" width="9.140625" style="48"/>
    <col min="8944" max="8944" width="7.42578125" style="48" bestFit="1" customWidth="1"/>
    <col min="8945" max="8945" width="18.5703125" style="48" customWidth="1"/>
    <col min="8946" max="8949" width="15.28515625" style="48" customWidth="1"/>
    <col min="8950" max="8950" width="16.28515625" style="48" customWidth="1"/>
    <col min="8951" max="8951" width="15.28515625" style="48" customWidth="1"/>
    <col min="8952" max="8952" width="6.5703125" style="48" customWidth="1"/>
    <col min="8953" max="8953" width="27" style="48" customWidth="1"/>
    <col min="8954" max="8954" width="17" style="48" bestFit="1" customWidth="1"/>
    <col min="8955" max="8956" width="8.140625" style="48" customWidth="1"/>
    <col min="8957" max="8957" width="9.85546875" style="48" customWidth="1"/>
    <col min="8958" max="8958" width="13.7109375" style="48" bestFit="1" customWidth="1"/>
    <col min="8959" max="8960" width="9.140625" style="48"/>
    <col min="8961" max="8961" width="11.5703125" style="48" bestFit="1" customWidth="1"/>
    <col min="8962" max="9199" width="9.140625" style="48"/>
    <col min="9200" max="9200" width="7.42578125" style="48" bestFit="1" customWidth="1"/>
    <col min="9201" max="9201" width="18.5703125" style="48" customWidth="1"/>
    <col min="9202" max="9205" width="15.28515625" style="48" customWidth="1"/>
    <col min="9206" max="9206" width="16.28515625" style="48" customWidth="1"/>
    <col min="9207" max="9207" width="15.28515625" style="48" customWidth="1"/>
    <col min="9208" max="9208" width="6.5703125" style="48" customWidth="1"/>
    <col min="9209" max="9209" width="27" style="48" customWidth="1"/>
    <col min="9210" max="9210" width="17" style="48" bestFit="1" customWidth="1"/>
    <col min="9211" max="9212" width="8.140625" style="48" customWidth="1"/>
    <col min="9213" max="9213" width="9.85546875" style="48" customWidth="1"/>
    <col min="9214" max="9214" width="13.7109375" style="48" bestFit="1" customWidth="1"/>
    <col min="9215" max="9216" width="9.140625" style="48"/>
    <col min="9217" max="9217" width="11.5703125" style="48" bestFit="1" customWidth="1"/>
    <col min="9218" max="9455" width="9.140625" style="48"/>
    <col min="9456" max="9456" width="7.42578125" style="48" bestFit="1" customWidth="1"/>
    <col min="9457" max="9457" width="18.5703125" style="48" customWidth="1"/>
    <col min="9458" max="9461" width="15.28515625" style="48" customWidth="1"/>
    <col min="9462" max="9462" width="16.28515625" style="48" customWidth="1"/>
    <col min="9463" max="9463" width="15.28515625" style="48" customWidth="1"/>
    <col min="9464" max="9464" width="6.5703125" style="48" customWidth="1"/>
    <col min="9465" max="9465" width="27" style="48" customWidth="1"/>
    <col min="9466" max="9466" width="17" style="48" bestFit="1" customWidth="1"/>
    <col min="9467" max="9468" width="8.140625" style="48" customWidth="1"/>
    <col min="9469" max="9469" width="9.85546875" style="48" customWidth="1"/>
    <col min="9470" max="9470" width="13.7109375" style="48" bestFit="1" customWidth="1"/>
    <col min="9471" max="9472" width="9.140625" style="48"/>
    <col min="9473" max="9473" width="11.5703125" style="48" bestFit="1" customWidth="1"/>
    <col min="9474" max="9711" width="9.140625" style="48"/>
    <col min="9712" max="9712" width="7.42578125" style="48" bestFit="1" customWidth="1"/>
    <col min="9713" max="9713" width="18.5703125" style="48" customWidth="1"/>
    <col min="9714" max="9717" width="15.28515625" style="48" customWidth="1"/>
    <col min="9718" max="9718" width="16.28515625" style="48" customWidth="1"/>
    <col min="9719" max="9719" width="15.28515625" style="48" customWidth="1"/>
    <col min="9720" max="9720" width="6.5703125" style="48" customWidth="1"/>
    <col min="9721" max="9721" width="27" style="48" customWidth="1"/>
    <col min="9722" max="9722" width="17" style="48" bestFit="1" customWidth="1"/>
    <col min="9723" max="9724" width="8.140625" style="48" customWidth="1"/>
    <col min="9725" max="9725" width="9.85546875" style="48" customWidth="1"/>
    <col min="9726" max="9726" width="13.7109375" style="48" bestFit="1" customWidth="1"/>
    <col min="9727" max="9728" width="9.140625" style="48"/>
    <col min="9729" max="9729" width="11.5703125" style="48" bestFit="1" customWidth="1"/>
    <col min="9730" max="9967" width="9.140625" style="48"/>
    <col min="9968" max="9968" width="7.42578125" style="48" bestFit="1" customWidth="1"/>
    <col min="9969" max="9969" width="18.5703125" style="48" customWidth="1"/>
    <col min="9970" max="9973" width="15.28515625" style="48" customWidth="1"/>
    <col min="9974" max="9974" width="16.28515625" style="48" customWidth="1"/>
    <col min="9975" max="9975" width="15.28515625" style="48" customWidth="1"/>
    <col min="9976" max="9976" width="6.5703125" style="48" customWidth="1"/>
    <col min="9977" max="9977" width="27" style="48" customWidth="1"/>
    <col min="9978" max="9978" width="17" style="48" bestFit="1" customWidth="1"/>
    <col min="9979" max="9980" width="8.140625" style="48" customWidth="1"/>
    <col min="9981" max="9981" width="9.85546875" style="48" customWidth="1"/>
    <col min="9982" max="9982" width="13.7109375" style="48" bestFit="1" customWidth="1"/>
    <col min="9983" max="9984" width="9.140625" style="48"/>
    <col min="9985" max="9985" width="11.5703125" style="48" bestFit="1" customWidth="1"/>
    <col min="9986" max="10223" width="9.140625" style="48"/>
    <col min="10224" max="10224" width="7.42578125" style="48" bestFit="1" customWidth="1"/>
    <col min="10225" max="10225" width="18.5703125" style="48" customWidth="1"/>
    <col min="10226" max="10229" width="15.28515625" style="48" customWidth="1"/>
    <col min="10230" max="10230" width="16.28515625" style="48" customWidth="1"/>
    <col min="10231" max="10231" width="15.28515625" style="48" customWidth="1"/>
    <col min="10232" max="10232" width="6.5703125" style="48" customWidth="1"/>
    <col min="10233" max="10233" width="27" style="48" customWidth="1"/>
    <col min="10234" max="10234" width="17" style="48" bestFit="1" customWidth="1"/>
    <col min="10235" max="10236" width="8.140625" style="48" customWidth="1"/>
    <col min="10237" max="10237" width="9.85546875" style="48" customWidth="1"/>
    <col min="10238" max="10238" width="13.7109375" style="48" bestFit="1" customWidth="1"/>
    <col min="10239" max="10240" width="9.140625" style="48"/>
    <col min="10241" max="10241" width="11.5703125" style="48" bestFit="1" customWidth="1"/>
    <col min="10242" max="10479" width="9.140625" style="48"/>
    <col min="10480" max="10480" width="7.42578125" style="48" bestFit="1" customWidth="1"/>
    <col min="10481" max="10481" width="18.5703125" style="48" customWidth="1"/>
    <col min="10482" max="10485" width="15.28515625" style="48" customWidth="1"/>
    <col min="10486" max="10486" width="16.28515625" style="48" customWidth="1"/>
    <col min="10487" max="10487" width="15.28515625" style="48" customWidth="1"/>
    <col min="10488" max="10488" width="6.5703125" style="48" customWidth="1"/>
    <col min="10489" max="10489" width="27" style="48" customWidth="1"/>
    <col min="10490" max="10490" width="17" style="48" bestFit="1" customWidth="1"/>
    <col min="10491" max="10492" width="8.140625" style="48" customWidth="1"/>
    <col min="10493" max="10493" width="9.85546875" style="48" customWidth="1"/>
    <col min="10494" max="10494" width="13.7109375" style="48" bestFit="1" customWidth="1"/>
    <col min="10495" max="10496" width="9.140625" style="48"/>
    <col min="10497" max="10497" width="11.5703125" style="48" bestFit="1" customWidth="1"/>
    <col min="10498" max="10735" width="9.140625" style="48"/>
    <col min="10736" max="10736" width="7.42578125" style="48" bestFit="1" customWidth="1"/>
    <col min="10737" max="10737" width="18.5703125" style="48" customWidth="1"/>
    <col min="10738" max="10741" width="15.28515625" style="48" customWidth="1"/>
    <col min="10742" max="10742" width="16.28515625" style="48" customWidth="1"/>
    <col min="10743" max="10743" width="15.28515625" style="48" customWidth="1"/>
    <col min="10744" max="10744" width="6.5703125" style="48" customWidth="1"/>
    <col min="10745" max="10745" width="27" style="48" customWidth="1"/>
    <col min="10746" max="10746" width="17" style="48" bestFit="1" customWidth="1"/>
    <col min="10747" max="10748" width="8.140625" style="48" customWidth="1"/>
    <col min="10749" max="10749" width="9.85546875" style="48" customWidth="1"/>
    <col min="10750" max="10750" width="13.7109375" style="48" bestFit="1" customWidth="1"/>
    <col min="10751" max="10752" width="9.140625" style="48"/>
    <col min="10753" max="10753" width="11.5703125" style="48" bestFit="1" customWidth="1"/>
    <col min="10754" max="10991" width="9.140625" style="48"/>
    <col min="10992" max="10992" width="7.42578125" style="48" bestFit="1" customWidth="1"/>
    <col min="10993" max="10993" width="18.5703125" style="48" customWidth="1"/>
    <col min="10994" max="10997" width="15.28515625" style="48" customWidth="1"/>
    <col min="10998" max="10998" width="16.28515625" style="48" customWidth="1"/>
    <col min="10999" max="10999" width="15.28515625" style="48" customWidth="1"/>
    <col min="11000" max="11000" width="6.5703125" style="48" customWidth="1"/>
    <col min="11001" max="11001" width="27" style="48" customWidth="1"/>
    <col min="11002" max="11002" width="17" style="48" bestFit="1" customWidth="1"/>
    <col min="11003" max="11004" width="8.140625" style="48" customWidth="1"/>
    <col min="11005" max="11005" width="9.85546875" style="48" customWidth="1"/>
    <col min="11006" max="11006" width="13.7109375" style="48" bestFit="1" customWidth="1"/>
    <col min="11007" max="11008" width="9.140625" style="48"/>
    <col min="11009" max="11009" width="11.5703125" style="48" bestFit="1" customWidth="1"/>
    <col min="11010" max="11247" width="9.140625" style="48"/>
    <col min="11248" max="11248" width="7.42578125" style="48" bestFit="1" customWidth="1"/>
    <col min="11249" max="11249" width="18.5703125" style="48" customWidth="1"/>
    <col min="11250" max="11253" width="15.28515625" style="48" customWidth="1"/>
    <col min="11254" max="11254" width="16.28515625" style="48" customWidth="1"/>
    <col min="11255" max="11255" width="15.28515625" style="48" customWidth="1"/>
    <col min="11256" max="11256" width="6.5703125" style="48" customWidth="1"/>
    <col min="11257" max="11257" width="27" style="48" customWidth="1"/>
    <col min="11258" max="11258" width="17" style="48" bestFit="1" customWidth="1"/>
    <col min="11259" max="11260" width="8.140625" style="48" customWidth="1"/>
    <col min="11261" max="11261" width="9.85546875" style="48" customWidth="1"/>
    <col min="11262" max="11262" width="13.7109375" style="48" bestFit="1" customWidth="1"/>
    <col min="11263" max="11264" width="9.140625" style="48"/>
    <col min="11265" max="11265" width="11.5703125" style="48" bestFit="1" customWidth="1"/>
    <col min="11266" max="11503" width="9.140625" style="48"/>
    <col min="11504" max="11504" width="7.42578125" style="48" bestFit="1" customWidth="1"/>
    <col min="11505" max="11505" width="18.5703125" style="48" customWidth="1"/>
    <col min="11506" max="11509" width="15.28515625" style="48" customWidth="1"/>
    <col min="11510" max="11510" width="16.28515625" style="48" customWidth="1"/>
    <col min="11511" max="11511" width="15.28515625" style="48" customWidth="1"/>
    <col min="11512" max="11512" width="6.5703125" style="48" customWidth="1"/>
    <col min="11513" max="11513" width="27" style="48" customWidth="1"/>
    <col min="11514" max="11514" width="17" style="48" bestFit="1" customWidth="1"/>
    <col min="11515" max="11516" width="8.140625" style="48" customWidth="1"/>
    <col min="11517" max="11517" width="9.85546875" style="48" customWidth="1"/>
    <col min="11518" max="11518" width="13.7109375" style="48" bestFit="1" customWidth="1"/>
    <col min="11519" max="11520" width="9.140625" style="48"/>
    <col min="11521" max="11521" width="11.5703125" style="48" bestFit="1" customWidth="1"/>
    <col min="11522" max="11759" width="9.140625" style="48"/>
    <col min="11760" max="11760" width="7.42578125" style="48" bestFit="1" customWidth="1"/>
    <col min="11761" max="11761" width="18.5703125" style="48" customWidth="1"/>
    <col min="11762" max="11765" width="15.28515625" style="48" customWidth="1"/>
    <col min="11766" max="11766" width="16.28515625" style="48" customWidth="1"/>
    <col min="11767" max="11767" width="15.28515625" style="48" customWidth="1"/>
    <col min="11768" max="11768" width="6.5703125" style="48" customWidth="1"/>
    <col min="11769" max="11769" width="27" style="48" customWidth="1"/>
    <col min="11770" max="11770" width="17" style="48" bestFit="1" customWidth="1"/>
    <col min="11771" max="11772" width="8.140625" style="48" customWidth="1"/>
    <col min="11773" max="11773" width="9.85546875" style="48" customWidth="1"/>
    <col min="11774" max="11774" width="13.7109375" style="48" bestFit="1" customWidth="1"/>
    <col min="11775" max="11776" width="9.140625" style="48"/>
    <col min="11777" max="11777" width="11.5703125" style="48" bestFit="1" customWidth="1"/>
    <col min="11778" max="12015" width="9.140625" style="48"/>
    <col min="12016" max="12016" width="7.42578125" style="48" bestFit="1" customWidth="1"/>
    <col min="12017" max="12017" width="18.5703125" style="48" customWidth="1"/>
    <col min="12018" max="12021" width="15.28515625" style="48" customWidth="1"/>
    <col min="12022" max="12022" width="16.28515625" style="48" customWidth="1"/>
    <col min="12023" max="12023" width="15.28515625" style="48" customWidth="1"/>
    <col min="12024" max="12024" width="6.5703125" style="48" customWidth="1"/>
    <col min="12025" max="12025" width="27" style="48" customWidth="1"/>
    <col min="12026" max="12026" width="17" style="48" bestFit="1" customWidth="1"/>
    <col min="12027" max="12028" width="8.140625" style="48" customWidth="1"/>
    <col min="12029" max="12029" width="9.85546875" style="48" customWidth="1"/>
    <col min="12030" max="12030" width="13.7109375" style="48" bestFit="1" customWidth="1"/>
    <col min="12031" max="12032" width="9.140625" style="48"/>
    <col min="12033" max="12033" width="11.5703125" style="48" bestFit="1" customWidth="1"/>
    <col min="12034" max="12271" width="9.140625" style="48"/>
    <col min="12272" max="12272" width="7.42578125" style="48" bestFit="1" customWidth="1"/>
    <col min="12273" max="12273" width="18.5703125" style="48" customWidth="1"/>
    <col min="12274" max="12277" width="15.28515625" style="48" customWidth="1"/>
    <col min="12278" max="12278" width="16.28515625" style="48" customWidth="1"/>
    <col min="12279" max="12279" width="15.28515625" style="48" customWidth="1"/>
    <col min="12280" max="12280" width="6.5703125" style="48" customWidth="1"/>
    <col min="12281" max="12281" width="27" style="48" customWidth="1"/>
    <col min="12282" max="12282" width="17" style="48" bestFit="1" customWidth="1"/>
    <col min="12283" max="12284" width="8.140625" style="48" customWidth="1"/>
    <col min="12285" max="12285" width="9.85546875" style="48" customWidth="1"/>
    <col min="12286" max="12286" width="13.7109375" style="48" bestFit="1" customWidth="1"/>
    <col min="12287" max="12288" width="9.140625" style="48"/>
    <col min="12289" max="12289" width="11.5703125" style="48" bestFit="1" customWidth="1"/>
    <col min="12290" max="12527" width="9.140625" style="48"/>
    <col min="12528" max="12528" width="7.42578125" style="48" bestFit="1" customWidth="1"/>
    <col min="12529" max="12529" width="18.5703125" style="48" customWidth="1"/>
    <col min="12530" max="12533" width="15.28515625" style="48" customWidth="1"/>
    <col min="12534" max="12534" width="16.28515625" style="48" customWidth="1"/>
    <col min="12535" max="12535" width="15.28515625" style="48" customWidth="1"/>
    <col min="12536" max="12536" width="6.5703125" style="48" customWidth="1"/>
    <col min="12537" max="12537" width="27" style="48" customWidth="1"/>
    <col min="12538" max="12538" width="17" style="48" bestFit="1" customWidth="1"/>
    <col min="12539" max="12540" width="8.140625" style="48" customWidth="1"/>
    <col min="12541" max="12541" width="9.85546875" style="48" customWidth="1"/>
    <col min="12542" max="12542" width="13.7109375" style="48" bestFit="1" customWidth="1"/>
    <col min="12543" max="12544" width="9.140625" style="48"/>
    <col min="12545" max="12545" width="11.5703125" style="48" bestFit="1" customWidth="1"/>
    <col min="12546" max="12783" width="9.140625" style="48"/>
    <col min="12784" max="12784" width="7.42578125" style="48" bestFit="1" customWidth="1"/>
    <col min="12785" max="12785" width="18.5703125" style="48" customWidth="1"/>
    <col min="12786" max="12789" width="15.28515625" style="48" customWidth="1"/>
    <col min="12790" max="12790" width="16.28515625" style="48" customWidth="1"/>
    <col min="12791" max="12791" width="15.28515625" style="48" customWidth="1"/>
    <col min="12792" max="12792" width="6.5703125" style="48" customWidth="1"/>
    <col min="12793" max="12793" width="27" style="48" customWidth="1"/>
    <col min="12794" max="12794" width="17" style="48" bestFit="1" customWidth="1"/>
    <col min="12795" max="12796" width="8.140625" style="48" customWidth="1"/>
    <col min="12797" max="12797" width="9.85546875" style="48" customWidth="1"/>
    <col min="12798" max="12798" width="13.7109375" style="48" bestFit="1" customWidth="1"/>
    <col min="12799" max="12800" width="9.140625" style="48"/>
    <col min="12801" max="12801" width="11.5703125" style="48" bestFit="1" customWidth="1"/>
    <col min="12802" max="13039" width="9.140625" style="48"/>
    <col min="13040" max="13040" width="7.42578125" style="48" bestFit="1" customWidth="1"/>
    <col min="13041" max="13041" width="18.5703125" style="48" customWidth="1"/>
    <col min="13042" max="13045" width="15.28515625" style="48" customWidth="1"/>
    <col min="13046" max="13046" width="16.28515625" style="48" customWidth="1"/>
    <col min="13047" max="13047" width="15.28515625" style="48" customWidth="1"/>
    <col min="13048" max="13048" width="6.5703125" style="48" customWidth="1"/>
    <col min="13049" max="13049" width="27" style="48" customWidth="1"/>
    <col min="13050" max="13050" width="17" style="48" bestFit="1" customWidth="1"/>
    <col min="13051" max="13052" width="8.140625" style="48" customWidth="1"/>
    <col min="13053" max="13053" width="9.85546875" style="48" customWidth="1"/>
    <col min="13054" max="13054" width="13.7109375" style="48" bestFit="1" customWidth="1"/>
    <col min="13055" max="13056" width="9.140625" style="48"/>
    <col min="13057" max="13057" width="11.5703125" style="48" bestFit="1" customWidth="1"/>
    <col min="13058" max="13295" width="9.140625" style="48"/>
    <col min="13296" max="13296" width="7.42578125" style="48" bestFit="1" customWidth="1"/>
    <col min="13297" max="13297" width="18.5703125" style="48" customWidth="1"/>
    <col min="13298" max="13301" width="15.28515625" style="48" customWidth="1"/>
    <col min="13302" max="13302" width="16.28515625" style="48" customWidth="1"/>
    <col min="13303" max="13303" width="15.28515625" style="48" customWidth="1"/>
    <col min="13304" max="13304" width="6.5703125" style="48" customWidth="1"/>
    <col min="13305" max="13305" width="27" style="48" customWidth="1"/>
    <col min="13306" max="13306" width="17" style="48" bestFit="1" customWidth="1"/>
    <col min="13307" max="13308" width="8.140625" style="48" customWidth="1"/>
    <col min="13309" max="13309" width="9.85546875" style="48" customWidth="1"/>
    <col min="13310" max="13310" width="13.7109375" style="48" bestFit="1" customWidth="1"/>
    <col min="13311" max="13312" width="9.140625" style="48"/>
    <col min="13313" max="13313" width="11.5703125" style="48" bestFit="1" customWidth="1"/>
    <col min="13314" max="13551" width="9.140625" style="48"/>
    <col min="13552" max="13552" width="7.42578125" style="48" bestFit="1" customWidth="1"/>
    <col min="13553" max="13553" width="18.5703125" style="48" customWidth="1"/>
    <col min="13554" max="13557" width="15.28515625" style="48" customWidth="1"/>
    <col min="13558" max="13558" width="16.28515625" style="48" customWidth="1"/>
    <col min="13559" max="13559" width="15.28515625" style="48" customWidth="1"/>
    <col min="13560" max="13560" width="6.5703125" style="48" customWidth="1"/>
    <col min="13561" max="13561" width="27" style="48" customWidth="1"/>
    <col min="13562" max="13562" width="17" style="48" bestFit="1" customWidth="1"/>
    <col min="13563" max="13564" width="8.140625" style="48" customWidth="1"/>
    <col min="13565" max="13565" width="9.85546875" style="48" customWidth="1"/>
    <col min="13566" max="13566" width="13.7109375" style="48" bestFit="1" customWidth="1"/>
    <col min="13567" max="13568" width="9.140625" style="48"/>
    <col min="13569" max="13569" width="11.5703125" style="48" bestFit="1" customWidth="1"/>
    <col min="13570" max="13807" width="9.140625" style="48"/>
    <col min="13808" max="13808" width="7.42578125" style="48" bestFit="1" customWidth="1"/>
    <col min="13809" max="13809" width="18.5703125" style="48" customWidth="1"/>
    <col min="13810" max="13813" width="15.28515625" style="48" customWidth="1"/>
    <col min="13814" max="13814" width="16.28515625" style="48" customWidth="1"/>
    <col min="13815" max="13815" width="15.28515625" style="48" customWidth="1"/>
    <col min="13816" max="13816" width="6.5703125" style="48" customWidth="1"/>
    <col min="13817" max="13817" width="27" style="48" customWidth="1"/>
    <col min="13818" max="13818" width="17" style="48" bestFit="1" customWidth="1"/>
    <col min="13819" max="13820" width="8.140625" style="48" customWidth="1"/>
    <col min="13821" max="13821" width="9.85546875" style="48" customWidth="1"/>
    <col min="13822" max="13822" width="13.7109375" style="48" bestFit="1" customWidth="1"/>
    <col min="13823" max="13824" width="9.140625" style="48"/>
    <col min="13825" max="13825" width="11.5703125" style="48" bestFit="1" customWidth="1"/>
    <col min="13826" max="14063" width="9.140625" style="48"/>
    <col min="14064" max="14064" width="7.42578125" style="48" bestFit="1" customWidth="1"/>
    <col min="14065" max="14065" width="18.5703125" style="48" customWidth="1"/>
    <col min="14066" max="14069" width="15.28515625" style="48" customWidth="1"/>
    <col min="14070" max="14070" width="16.28515625" style="48" customWidth="1"/>
    <col min="14071" max="14071" width="15.28515625" style="48" customWidth="1"/>
    <col min="14072" max="14072" width="6.5703125" style="48" customWidth="1"/>
    <col min="14073" max="14073" width="27" style="48" customWidth="1"/>
    <col min="14074" max="14074" width="17" style="48" bestFit="1" customWidth="1"/>
    <col min="14075" max="14076" width="8.140625" style="48" customWidth="1"/>
    <col min="14077" max="14077" width="9.85546875" style="48" customWidth="1"/>
    <col min="14078" max="14078" width="13.7109375" style="48" bestFit="1" customWidth="1"/>
    <col min="14079" max="14080" width="9.140625" style="48"/>
    <col min="14081" max="14081" width="11.5703125" style="48" bestFit="1" customWidth="1"/>
    <col min="14082" max="14319" width="9.140625" style="48"/>
    <col min="14320" max="14320" width="7.42578125" style="48" bestFit="1" customWidth="1"/>
    <col min="14321" max="14321" width="18.5703125" style="48" customWidth="1"/>
    <col min="14322" max="14325" width="15.28515625" style="48" customWidth="1"/>
    <col min="14326" max="14326" width="16.28515625" style="48" customWidth="1"/>
    <col min="14327" max="14327" width="15.28515625" style="48" customWidth="1"/>
    <col min="14328" max="14328" width="6.5703125" style="48" customWidth="1"/>
    <col min="14329" max="14329" width="27" style="48" customWidth="1"/>
    <col min="14330" max="14330" width="17" style="48" bestFit="1" customWidth="1"/>
    <col min="14331" max="14332" width="8.140625" style="48" customWidth="1"/>
    <col min="14333" max="14333" width="9.85546875" style="48" customWidth="1"/>
    <col min="14334" max="14334" width="13.7109375" style="48" bestFit="1" customWidth="1"/>
    <col min="14335" max="14336" width="9.140625" style="48"/>
    <col min="14337" max="14337" width="11.5703125" style="48" bestFit="1" customWidth="1"/>
    <col min="14338" max="14575" width="9.140625" style="48"/>
    <col min="14576" max="14576" width="7.42578125" style="48" bestFit="1" customWidth="1"/>
    <col min="14577" max="14577" width="18.5703125" style="48" customWidth="1"/>
    <col min="14578" max="14581" width="15.28515625" style="48" customWidth="1"/>
    <col min="14582" max="14582" width="16.28515625" style="48" customWidth="1"/>
    <col min="14583" max="14583" width="15.28515625" style="48" customWidth="1"/>
    <col min="14584" max="14584" width="6.5703125" style="48" customWidth="1"/>
    <col min="14585" max="14585" width="27" style="48" customWidth="1"/>
    <col min="14586" max="14586" width="17" style="48" bestFit="1" customWidth="1"/>
    <col min="14587" max="14588" width="8.140625" style="48" customWidth="1"/>
    <col min="14589" max="14589" width="9.85546875" style="48" customWidth="1"/>
    <col min="14590" max="14590" width="13.7109375" style="48" bestFit="1" customWidth="1"/>
    <col min="14591" max="14592" width="9.140625" style="48"/>
    <col min="14593" max="14593" width="11.5703125" style="48" bestFit="1" customWidth="1"/>
    <col min="14594" max="14831" width="9.140625" style="48"/>
    <col min="14832" max="14832" width="7.42578125" style="48" bestFit="1" customWidth="1"/>
    <col min="14833" max="14833" width="18.5703125" style="48" customWidth="1"/>
    <col min="14834" max="14837" width="15.28515625" style="48" customWidth="1"/>
    <col min="14838" max="14838" width="16.28515625" style="48" customWidth="1"/>
    <col min="14839" max="14839" width="15.28515625" style="48" customWidth="1"/>
    <col min="14840" max="14840" width="6.5703125" style="48" customWidth="1"/>
    <col min="14841" max="14841" width="27" style="48" customWidth="1"/>
    <col min="14842" max="14842" width="17" style="48" bestFit="1" customWidth="1"/>
    <col min="14843" max="14844" width="8.140625" style="48" customWidth="1"/>
    <col min="14845" max="14845" width="9.85546875" style="48" customWidth="1"/>
    <col min="14846" max="14846" width="13.7109375" style="48" bestFit="1" customWidth="1"/>
    <col min="14847" max="14848" width="9.140625" style="48"/>
    <col min="14849" max="14849" width="11.5703125" style="48" bestFit="1" customWidth="1"/>
    <col min="14850" max="15087" width="9.140625" style="48"/>
    <col min="15088" max="15088" width="7.42578125" style="48" bestFit="1" customWidth="1"/>
    <col min="15089" max="15089" width="18.5703125" style="48" customWidth="1"/>
    <col min="15090" max="15093" width="15.28515625" style="48" customWidth="1"/>
    <col min="15094" max="15094" width="16.28515625" style="48" customWidth="1"/>
    <col min="15095" max="15095" width="15.28515625" style="48" customWidth="1"/>
    <col min="15096" max="15096" width="6.5703125" style="48" customWidth="1"/>
    <col min="15097" max="15097" width="27" style="48" customWidth="1"/>
    <col min="15098" max="15098" width="17" style="48" bestFit="1" customWidth="1"/>
    <col min="15099" max="15100" width="8.140625" style="48" customWidth="1"/>
    <col min="15101" max="15101" width="9.85546875" style="48" customWidth="1"/>
    <col min="15102" max="15102" width="13.7109375" style="48" bestFit="1" customWidth="1"/>
    <col min="15103" max="15104" width="9.140625" style="48"/>
    <col min="15105" max="15105" width="11.5703125" style="48" bestFit="1" customWidth="1"/>
    <col min="15106" max="15343" width="9.140625" style="48"/>
    <col min="15344" max="15344" width="7.42578125" style="48" bestFit="1" customWidth="1"/>
    <col min="15345" max="15345" width="18.5703125" style="48" customWidth="1"/>
    <col min="15346" max="15349" width="15.28515625" style="48" customWidth="1"/>
    <col min="15350" max="15350" width="16.28515625" style="48" customWidth="1"/>
    <col min="15351" max="15351" width="15.28515625" style="48" customWidth="1"/>
    <col min="15352" max="15352" width="6.5703125" style="48" customWidth="1"/>
    <col min="15353" max="15353" width="27" style="48" customWidth="1"/>
    <col min="15354" max="15354" width="17" style="48" bestFit="1" customWidth="1"/>
    <col min="15355" max="15356" width="8.140625" style="48" customWidth="1"/>
    <col min="15357" max="15357" width="9.85546875" style="48" customWidth="1"/>
    <col min="15358" max="15358" width="13.7109375" style="48" bestFit="1" customWidth="1"/>
    <col min="15359" max="15360" width="9.140625" style="48"/>
    <col min="15361" max="15361" width="11.5703125" style="48" bestFit="1" customWidth="1"/>
    <col min="15362" max="15599" width="9.140625" style="48"/>
    <col min="15600" max="15600" width="7.42578125" style="48" bestFit="1" customWidth="1"/>
    <col min="15601" max="15601" width="18.5703125" style="48" customWidth="1"/>
    <col min="15602" max="15605" width="15.28515625" style="48" customWidth="1"/>
    <col min="15606" max="15606" width="16.28515625" style="48" customWidth="1"/>
    <col min="15607" max="15607" width="15.28515625" style="48" customWidth="1"/>
    <col min="15608" max="15608" width="6.5703125" style="48" customWidth="1"/>
    <col min="15609" max="15609" width="27" style="48" customWidth="1"/>
    <col min="15610" max="15610" width="17" style="48" bestFit="1" customWidth="1"/>
    <col min="15611" max="15612" width="8.140625" style="48" customWidth="1"/>
    <col min="15613" max="15613" width="9.85546875" style="48" customWidth="1"/>
    <col min="15614" max="15614" width="13.7109375" style="48" bestFit="1" customWidth="1"/>
    <col min="15615" max="15616" width="9.140625" style="48"/>
    <col min="15617" max="15617" width="11.5703125" style="48" bestFit="1" customWidth="1"/>
    <col min="15618" max="15855" width="9.140625" style="48"/>
    <col min="15856" max="15856" width="7.42578125" style="48" bestFit="1" customWidth="1"/>
    <col min="15857" max="15857" width="18.5703125" style="48" customWidth="1"/>
    <col min="15858" max="15861" width="15.28515625" style="48" customWidth="1"/>
    <col min="15862" max="15862" width="16.28515625" style="48" customWidth="1"/>
    <col min="15863" max="15863" width="15.28515625" style="48" customWidth="1"/>
    <col min="15864" max="15864" width="6.5703125" style="48" customWidth="1"/>
    <col min="15865" max="15865" width="27" style="48" customWidth="1"/>
    <col min="15866" max="15866" width="17" style="48" bestFit="1" customWidth="1"/>
    <col min="15867" max="15868" width="8.140625" style="48" customWidth="1"/>
    <col min="15869" max="15869" width="9.85546875" style="48" customWidth="1"/>
    <col min="15870" max="15870" width="13.7109375" style="48" bestFit="1" customWidth="1"/>
    <col min="15871" max="15872" width="9.140625" style="48"/>
    <col min="15873" max="15873" width="11.5703125" style="48" bestFit="1" customWidth="1"/>
    <col min="15874" max="16111" width="9.140625" style="48"/>
    <col min="16112" max="16112" width="7.42578125" style="48" bestFit="1" customWidth="1"/>
    <col min="16113" max="16113" width="18.5703125" style="48" customWidth="1"/>
    <col min="16114" max="16117" width="15.28515625" style="48" customWidth="1"/>
    <col min="16118" max="16118" width="16.28515625" style="48" customWidth="1"/>
    <col min="16119" max="16119" width="15.28515625" style="48" customWidth="1"/>
    <col min="16120" max="16120" width="6.5703125" style="48" customWidth="1"/>
    <col min="16121" max="16121" width="27" style="48" customWidth="1"/>
    <col min="16122" max="16122" width="17" style="48" bestFit="1" customWidth="1"/>
    <col min="16123" max="16124" width="8.140625" style="48" customWidth="1"/>
    <col min="16125" max="16125" width="9.85546875" style="48" customWidth="1"/>
    <col min="16126" max="16126" width="13.7109375" style="48" bestFit="1" customWidth="1"/>
    <col min="16127" max="16128" width="9.140625" style="48"/>
    <col min="16129" max="16129" width="11.5703125" style="48" bestFit="1" customWidth="1"/>
    <col min="16130" max="16384" width="9.140625" style="48"/>
  </cols>
  <sheetData>
    <row r="1" spans="1:22" ht="15" customHeight="1">
      <c r="A1" s="865" t="s">
        <v>405</v>
      </c>
      <c r="B1" s="866"/>
      <c r="C1" s="866"/>
      <c r="D1" s="866"/>
      <c r="E1" s="866"/>
      <c r="F1" s="866"/>
      <c r="G1" s="866"/>
      <c r="H1" s="866"/>
      <c r="I1" s="866"/>
      <c r="J1" s="867"/>
      <c r="M1" s="47"/>
      <c r="N1" s="47"/>
      <c r="O1" s="47"/>
      <c r="P1" s="47"/>
      <c r="Q1" s="47"/>
      <c r="R1" s="47"/>
      <c r="S1" s="47" t="s">
        <v>568</v>
      </c>
      <c r="T1" s="682">
        <v>35.299999999999997</v>
      </c>
      <c r="U1" s="47"/>
      <c r="V1" s="47"/>
    </row>
    <row r="2" spans="1:22" ht="15" customHeight="1" thickBot="1">
      <c r="A2" s="862" t="s">
        <v>569</v>
      </c>
      <c r="B2" s="863"/>
      <c r="C2" s="863"/>
      <c r="D2" s="863"/>
      <c r="E2" s="863"/>
      <c r="F2" s="863"/>
      <c r="G2" s="863"/>
      <c r="H2" s="863"/>
      <c r="I2" s="863"/>
      <c r="J2" s="864"/>
      <c r="M2" s="683" t="s">
        <v>481</v>
      </c>
      <c r="N2" s="683"/>
      <c r="O2" s="683"/>
      <c r="P2" s="683" t="s">
        <v>485</v>
      </c>
      <c r="Q2" s="683"/>
      <c r="R2" s="47"/>
      <c r="S2" s="47" t="s">
        <v>567</v>
      </c>
      <c r="T2" s="47"/>
      <c r="U2" s="47"/>
      <c r="V2" s="47"/>
    </row>
    <row r="3" spans="1:22" ht="15" customHeight="1">
      <c r="A3" s="229" t="s">
        <v>66</v>
      </c>
      <c r="B3" s="158"/>
      <c r="C3" s="230" t="str">
        <f>ORÇAMENTO!C5</f>
        <v>Estrada Passo Salseiro</v>
      </c>
      <c r="D3" s="149"/>
      <c r="E3" s="149"/>
      <c r="F3" s="149"/>
      <c r="G3" s="149"/>
      <c r="H3" s="149"/>
      <c r="I3" s="149"/>
      <c r="J3" s="207"/>
      <c r="M3" s="683" t="s">
        <v>388</v>
      </c>
      <c r="N3" s="683">
        <v>13.1</v>
      </c>
      <c r="O3" s="683"/>
      <c r="P3" s="683" t="s">
        <v>486</v>
      </c>
      <c r="Q3" s="697">
        <v>3464</v>
      </c>
      <c r="R3" s="47"/>
      <c r="S3" s="47" t="s">
        <v>494</v>
      </c>
      <c r="T3" s="47"/>
      <c r="U3" s="47">
        <v>0.45</v>
      </c>
      <c r="V3" s="682">
        <v>8.9</v>
      </c>
    </row>
    <row r="4" spans="1:22" ht="15" customHeight="1">
      <c r="A4" s="229" t="s">
        <v>65</v>
      </c>
      <c r="B4" s="158"/>
      <c r="C4" s="230" t="str">
        <f>ORÇAMENTO!C6</f>
        <v>Est. 0+00 - Est. 45+00</v>
      </c>
      <c r="D4" s="208"/>
      <c r="E4" s="208"/>
      <c r="F4" s="208"/>
      <c r="G4" s="208"/>
      <c r="H4" s="209"/>
      <c r="I4" s="563" t="s">
        <v>207</v>
      </c>
      <c r="J4" s="210">
        <v>900</v>
      </c>
      <c r="M4" s="683" t="s">
        <v>482</v>
      </c>
      <c r="N4" s="683">
        <v>46.6</v>
      </c>
      <c r="O4" s="683"/>
      <c r="P4" s="47" t="s">
        <v>558</v>
      </c>
      <c r="Q4" s="679">
        <f>Q3*0.95</f>
        <v>3290.7999999999997</v>
      </c>
      <c r="R4" s="47"/>
      <c r="S4" s="47" t="s">
        <v>495</v>
      </c>
      <c r="T4" s="47">
        <f>(V3+V4)/2</f>
        <v>8.6999999999999993</v>
      </c>
      <c r="U4" s="682">
        <v>0.2</v>
      </c>
      <c r="V4" s="682">
        <v>8.5</v>
      </c>
    </row>
    <row r="5" spans="1:22" ht="15" customHeight="1">
      <c r="A5" s="599" t="s">
        <v>75</v>
      </c>
      <c r="B5" s="619" t="s">
        <v>55</v>
      </c>
      <c r="C5" s="543"/>
      <c r="D5" s="543"/>
      <c r="E5" s="543"/>
      <c r="F5" s="543"/>
      <c r="G5" s="543"/>
      <c r="H5" s="544"/>
      <c r="I5" s="545"/>
      <c r="J5" s="546"/>
      <c r="M5" s="47"/>
      <c r="N5" s="47"/>
      <c r="O5" s="47"/>
      <c r="P5" s="47" t="s">
        <v>559</v>
      </c>
      <c r="Q5" s="679">
        <f>Q3-Q4</f>
        <v>173.20000000000027</v>
      </c>
      <c r="R5" s="47"/>
      <c r="S5" s="47" t="s">
        <v>496</v>
      </c>
      <c r="T5" s="47">
        <f>(V4+V5)/2</f>
        <v>8.3000000000000007</v>
      </c>
      <c r="U5" s="682">
        <v>0.2</v>
      </c>
      <c r="V5" s="682">
        <v>8.1</v>
      </c>
    </row>
    <row r="6" spans="1:22" ht="15" customHeight="1">
      <c r="A6" s="621" t="s">
        <v>54</v>
      </c>
      <c r="B6" s="670" t="s">
        <v>85</v>
      </c>
      <c r="C6" s="623"/>
      <c r="D6" s="623"/>
      <c r="E6" s="623"/>
      <c r="F6" s="623"/>
      <c r="G6" s="623"/>
      <c r="H6" s="624"/>
      <c r="I6" s="622"/>
      <c r="J6" s="625"/>
      <c r="M6" s="47"/>
      <c r="N6" s="47"/>
      <c r="O6" s="47"/>
      <c r="P6" s="683" t="s">
        <v>487</v>
      </c>
      <c r="Q6" s="697">
        <v>117</v>
      </c>
      <c r="R6" s="47"/>
      <c r="S6" s="47" t="s">
        <v>497</v>
      </c>
      <c r="T6" s="682">
        <f>(V6)</f>
        <v>8</v>
      </c>
      <c r="U6" s="682">
        <v>0.05</v>
      </c>
      <c r="V6" s="682">
        <v>8</v>
      </c>
    </row>
    <row r="7" spans="1:22" ht="15" customHeight="1">
      <c r="A7" s="211" t="s">
        <v>86</v>
      </c>
      <c r="B7" s="212" t="s">
        <v>124</v>
      </c>
      <c r="C7" s="594"/>
      <c r="D7" s="594"/>
      <c r="E7" s="594"/>
      <c r="F7" s="594"/>
      <c r="G7" s="594"/>
      <c r="H7" s="213"/>
      <c r="I7" s="212"/>
      <c r="J7" s="221"/>
    </row>
    <row r="8" spans="1:22" s="47" customFormat="1" ht="15" customHeight="1">
      <c r="A8" s="214" t="s">
        <v>121</v>
      </c>
      <c r="B8" s="212" t="s">
        <v>574</v>
      </c>
      <c r="C8" s="594"/>
      <c r="D8" s="594"/>
      <c r="E8" s="594"/>
      <c r="F8" s="594"/>
      <c r="G8" s="594"/>
      <c r="H8" s="213"/>
      <c r="I8" s="212"/>
      <c r="J8" s="221"/>
    </row>
    <row r="9" spans="1:22" s="47" customFormat="1" ht="15" customHeight="1">
      <c r="A9" s="211"/>
      <c r="B9" s="626" t="s">
        <v>120</v>
      </c>
      <c r="C9" s="627" t="s">
        <v>573</v>
      </c>
      <c r="D9" s="212"/>
      <c r="E9" s="212"/>
      <c r="F9" s="212"/>
      <c r="G9" s="212"/>
      <c r="H9" s="215">
        <v>2.88</v>
      </c>
      <c r="I9" s="216" t="s">
        <v>90</v>
      </c>
      <c r="J9" s="221"/>
    </row>
    <row r="10" spans="1:22" s="47" customFormat="1" ht="15" customHeight="1">
      <c r="A10" s="211"/>
      <c r="B10" s="217"/>
      <c r="C10" s="212"/>
      <c r="D10" s="212"/>
      <c r="E10" s="212"/>
      <c r="F10" s="212"/>
      <c r="G10" s="212"/>
      <c r="H10" s="213"/>
      <c r="I10" s="212"/>
      <c r="J10" s="221"/>
    </row>
    <row r="11" spans="1:22" s="47" customFormat="1" ht="15" customHeight="1">
      <c r="A11" s="211" t="s">
        <v>87</v>
      </c>
      <c r="B11" s="212" t="s">
        <v>67</v>
      </c>
      <c r="C11" s="594"/>
      <c r="D11" s="594"/>
      <c r="E11" s="594"/>
      <c r="F11" s="594"/>
      <c r="G11" s="594"/>
      <c r="H11" s="628"/>
      <c r="I11" s="629"/>
      <c r="J11" s="630"/>
    </row>
    <row r="12" spans="1:22" ht="15" customHeight="1">
      <c r="A12" s="214" t="s">
        <v>121</v>
      </c>
      <c r="B12" s="212" t="s">
        <v>575</v>
      </c>
      <c r="C12" s="594"/>
      <c r="D12" s="594"/>
      <c r="E12" s="594"/>
      <c r="F12" s="594"/>
      <c r="G12" s="594"/>
      <c r="H12" s="213"/>
      <c r="I12" s="212"/>
      <c r="J12" s="221"/>
    </row>
    <row r="13" spans="1:22" ht="15" customHeight="1">
      <c r="A13" s="214"/>
      <c r="B13" s="631" t="s">
        <v>161</v>
      </c>
      <c r="C13" s="631" t="s">
        <v>159</v>
      </c>
      <c r="D13" s="631" t="s">
        <v>160</v>
      </c>
      <c r="E13" s="631" t="s">
        <v>162</v>
      </c>
      <c r="F13" s="631" t="s">
        <v>470</v>
      </c>
      <c r="G13" s="594"/>
      <c r="H13" s="631" t="s">
        <v>163</v>
      </c>
      <c r="I13" s="212"/>
      <c r="J13" s="221"/>
    </row>
    <row r="14" spans="1:22" ht="15" customHeight="1">
      <c r="A14" s="214"/>
      <c r="B14" s="631">
        <v>0</v>
      </c>
      <c r="C14" s="631" t="s">
        <v>469</v>
      </c>
      <c r="D14" s="631" t="s">
        <v>189</v>
      </c>
      <c r="E14" s="632">
        <f>J4</f>
        <v>900</v>
      </c>
      <c r="F14" s="632">
        <v>1</v>
      </c>
      <c r="G14" s="594"/>
      <c r="H14" s="633">
        <f t="shared" ref="H14:H15" si="0">E14*F14</f>
        <v>900</v>
      </c>
      <c r="I14" s="212"/>
      <c r="J14" s="221"/>
    </row>
    <row r="15" spans="1:22" ht="15" customHeight="1">
      <c r="A15" s="214"/>
      <c r="B15" s="631">
        <v>0</v>
      </c>
      <c r="C15" s="631" t="s">
        <v>469</v>
      </c>
      <c r="D15" s="631" t="s">
        <v>164</v>
      </c>
      <c r="E15" s="632">
        <f>J4</f>
        <v>900</v>
      </c>
      <c r="F15" s="632">
        <v>1</v>
      </c>
      <c r="G15" s="594"/>
      <c r="H15" s="633">
        <f t="shared" si="0"/>
        <v>900</v>
      </c>
      <c r="I15" s="212"/>
      <c r="J15" s="221"/>
    </row>
    <row r="16" spans="1:22" s="47" customFormat="1" ht="15" customHeight="1">
      <c r="A16" s="214"/>
      <c r="B16" s="634" t="s">
        <v>74</v>
      </c>
      <c r="C16" s="635"/>
      <c r="D16" s="636"/>
      <c r="E16" s="636"/>
      <c r="F16" s="636"/>
      <c r="G16" s="636"/>
      <c r="H16" s="637">
        <f>H14+H15</f>
        <v>1800</v>
      </c>
      <c r="I16" s="216" t="s">
        <v>90</v>
      </c>
      <c r="J16" s="221"/>
    </row>
    <row r="17" spans="1:10" s="47" customFormat="1" ht="15" customHeight="1">
      <c r="A17" s="214"/>
      <c r="B17" s="638"/>
      <c r="C17" s="629"/>
      <c r="D17" s="629"/>
      <c r="E17" s="629"/>
      <c r="F17" s="629"/>
      <c r="G17" s="629"/>
      <c r="H17" s="628"/>
      <c r="I17" s="629"/>
      <c r="J17" s="630"/>
    </row>
    <row r="18" spans="1:10" s="47" customFormat="1" ht="15" customHeight="1">
      <c r="A18" s="211" t="s">
        <v>88</v>
      </c>
      <c r="B18" s="212" t="s">
        <v>144</v>
      </c>
      <c r="C18" s="212"/>
      <c r="D18" s="212"/>
      <c r="E18" s="212"/>
      <c r="F18" s="212"/>
      <c r="G18" s="212"/>
      <c r="H18" s="213"/>
      <c r="I18" s="212"/>
      <c r="J18" s="221"/>
    </row>
    <row r="19" spans="1:10" s="47" customFormat="1" ht="15" customHeight="1">
      <c r="A19" s="214" t="s">
        <v>121</v>
      </c>
      <c r="B19" s="212" t="s">
        <v>147</v>
      </c>
      <c r="C19" s="212"/>
      <c r="D19" s="212"/>
      <c r="E19" s="212"/>
      <c r="F19" s="212"/>
      <c r="G19" s="212"/>
      <c r="H19" s="213"/>
      <c r="I19" s="212"/>
      <c r="J19" s="221"/>
    </row>
    <row r="20" spans="1:10" s="47" customFormat="1" ht="15" customHeight="1">
      <c r="A20" s="211"/>
      <c r="B20" s="212" t="s">
        <v>127</v>
      </c>
      <c r="C20" s="212"/>
      <c r="D20" s="212"/>
      <c r="E20" s="212"/>
      <c r="F20" s="212"/>
      <c r="G20" s="212"/>
      <c r="H20" s="215">
        <f>H16*0.2</f>
        <v>360</v>
      </c>
      <c r="I20" s="216" t="s">
        <v>91</v>
      </c>
      <c r="J20" s="221"/>
    </row>
    <row r="21" spans="1:10" s="47" customFormat="1" ht="15" customHeight="1">
      <c r="A21" s="211"/>
      <c r="B21" s="217"/>
      <c r="C21" s="212"/>
      <c r="D21" s="212"/>
      <c r="E21" s="212"/>
      <c r="F21" s="212"/>
      <c r="G21" s="212"/>
      <c r="H21" s="213"/>
      <c r="I21" s="212"/>
      <c r="J21" s="221"/>
    </row>
    <row r="22" spans="1:10" s="47" customFormat="1" ht="15" customHeight="1">
      <c r="A22" s="211" t="s">
        <v>122</v>
      </c>
      <c r="B22" s="212" t="s">
        <v>471</v>
      </c>
      <c r="C22" s="212"/>
      <c r="D22" s="212"/>
      <c r="E22" s="212"/>
      <c r="F22" s="212"/>
      <c r="G22" s="212"/>
      <c r="H22" s="213"/>
      <c r="I22" s="212"/>
      <c r="J22" s="221"/>
    </row>
    <row r="23" spans="1:10" s="47" customFormat="1" ht="15" customHeight="1">
      <c r="A23" s="214" t="s">
        <v>121</v>
      </c>
      <c r="B23" s="212" t="s">
        <v>390</v>
      </c>
      <c r="C23" s="212"/>
      <c r="D23" s="212"/>
      <c r="E23" s="631"/>
      <c r="F23" s="631"/>
      <c r="G23" s="212"/>
      <c r="H23" s="213"/>
      <c r="I23" s="212"/>
      <c r="J23" s="221"/>
    </row>
    <row r="24" spans="1:10" s="47" customFormat="1" ht="15" customHeight="1">
      <c r="A24" s="211"/>
      <c r="B24" s="212" t="s">
        <v>576</v>
      </c>
      <c r="C24" s="594"/>
      <c r="D24" s="594"/>
      <c r="E24" s="639"/>
      <c r="F24" s="640"/>
      <c r="G24" s="212"/>
      <c r="H24" s="215">
        <f>H20*1.25*N3</f>
        <v>5895</v>
      </c>
      <c r="I24" s="216" t="s">
        <v>143</v>
      </c>
      <c r="J24" s="221"/>
    </row>
    <row r="25" spans="1:10" s="47" customFormat="1" ht="15" customHeight="1">
      <c r="A25" s="211"/>
      <c r="B25" s="217"/>
      <c r="C25" s="212"/>
      <c r="D25" s="212"/>
      <c r="E25" s="212"/>
      <c r="F25" s="212"/>
      <c r="G25" s="212"/>
      <c r="H25" s="213"/>
      <c r="I25" s="212"/>
      <c r="J25" s="221"/>
    </row>
    <row r="26" spans="1:10" s="47" customFormat="1" ht="15" customHeight="1">
      <c r="A26" s="211" t="s">
        <v>145</v>
      </c>
      <c r="B26" s="212" t="s">
        <v>125</v>
      </c>
      <c r="C26" s="212"/>
      <c r="D26" s="212"/>
      <c r="E26" s="212"/>
      <c r="F26" s="212"/>
      <c r="G26" s="212"/>
      <c r="H26" s="213"/>
      <c r="I26" s="212"/>
      <c r="J26" s="221"/>
    </row>
    <row r="27" spans="1:10" s="47" customFormat="1" ht="15" customHeight="1">
      <c r="A27" s="214" t="s">
        <v>121</v>
      </c>
      <c r="B27" s="212" t="s">
        <v>126</v>
      </c>
      <c r="C27" s="212"/>
      <c r="D27" s="212"/>
      <c r="E27" s="212"/>
      <c r="F27" s="212"/>
      <c r="G27" s="212"/>
      <c r="H27" s="213"/>
      <c r="I27" s="212"/>
      <c r="J27" s="221"/>
    </row>
    <row r="28" spans="1:10" s="47" customFormat="1" ht="15" customHeight="1">
      <c r="A28" s="211"/>
      <c r="B28" s="212" t="s">
        <v>127</v>
      </c>
      <c r="C28" s="212"/>
      <c r="D28" s="212"/>
      <c r="E28" s="212"/>
      <c r="F28" s="212"/>
      <c r="G28" s="212"/>
      <c r="H28" s="215">
        <f>H16*0.2</f>
        <v>360</v>
      </c>
      <c r="I28" s="216" t="s">
        <v>91</v>
      </c>
      <c r="J28" s="221"/>
    </row>
    <row r="29" spans="1:10" s="47" customFormat="1" ht="15" customHeight="1">
      <c r="A29" s="211"/>
      <c r="B29" s="217"/>
      <c r="C29" s="212"/>
      <c r="D29" s="212"/>
      <c r="E29" s="212"/>
      <c r="F29" s="212"/>
      <c r="G29" s="212"/>
      <c r="H29" s="213"/>
      <c r="I29" s="212"/>
      <c r="J29" s="221"/>
    </row>
    <row r="30" spans="1:10" s="47" customFormat="1" ht="15" customHeight="1">
      <c r="A30" s="671" t="s">
        <v>53</v>
      </c>
      <c r="B30" s="670" t="s">
        <v>128</v>
      </c>
      <c r="C30" s="623"/>
      <c r="D30" s="594"/>
      <c r="E30" s="594"/>
      <c r="F30" s="594"/>
      <c r="G30" s="594"/>
      <c r="H30" s="628"/>
      <c r="I30" s="629"/>
      <c r="J30" s="630"/>
    </row>
    <row r="31" spans="1:10" ht="15" customHeight="1">
      <c r="A31" s="211" t="s">
        <v>94</v>
      </c>
      <c r="B31" s="212" t="s">
        <v>68</v>
      </c>
      <c r="C31" s="212"/>
      <c r="D31" s="212"/>
      <c r="E31" s="212"/>
      <c r="F31" s="212"/>
      <c r="G31" s="212"/>
      <c r="H31" s="213"/>
      <c r="I31" s="212"/>
      <c r="J31" s="221"/>
    </row>
    <row r="32" spans="1:10" s="47" customFormat="1" ht="15" customHeight="1">
      <c r="A32" s="214" t="s">
        <v>121</v>
      </c>
      <c r="B32" s="212" t="s">
        <v>577</v>
      </c>
      <c r="C32" s="212"/>
      <c r="D32" s="212"/>
      <c r="E32" s="212"/>
      <c r="F32" s="212"/>
      <c r="G32" s="212"/>
      <c r="H32" s="213" t="s">
        <v>8</v>
      </c>
      <c r="I32" s="212"/>
      <c r="J32" s="221"/>
    </row>
    <row r="33" spans="1:10" ht="15" customHeight="1">
      <c r="A33" s="214"/>
      <c r="B33" s="631" t="s">
        <v>161</v>
      </c>
      <c r="C33" s="631" t="s">
        <v>159</v>
      </c>
      <c r="D33" s="631" t="s">
        <v>160</v>
      </c>
      <c r="E33" s="631" t="s">
        <v>162</v>
      </c>
      <c r="F33" s="631" t="s">
        <v>470</v>
      </c>
      <c r="G33" s="631" t="s">
        <v>475</v>
      </c>
      <c r="H33" s="631" t="s">
        <v>163</v>
      </c>
      <c r="I33" s="212"/>
      <c r="J33" s="221"/>
    </row>
    <row r="34" spans="1:10" ht="15" customHeight="1">
      <c r="A34" s="214"/>
      <c r="B34" s="631">
        <v>23</v>
      </c>
      <c r="C34" s="631">
        <v>28</v>
      </c>
      <c r="D34" s="631" t="s">
        <v>189</v>
      </c>
      <c r="E34" s="632">
        <v>100</v>
      </c>
      <c r="F34" s="632">
        <v>2</v>
      </c>
      <c r="G34" s="631">
        <v>0.15</v>
      </c>
      <c r="H34" s="213">
        <f>E34*F34*G34</f>
        <v>30</v>
      </c>
      <c r="I34" s="212"/>
      <c r="J34" s="221"/>
    </row>
    <row r="35" spans="1:10" ht="15" customHeight="1">
      <c r="A35" s="214"/>
      <c r="B35" s="631">
        <v>23</v>
      </c>
      <c r="C35" s="631">
        <v>28</v>
      </c>
      <c r="D35" s="631" t="s">
        <v>164</v>
      </c>
      <c r="E35" s="632">
        <v>100</v>
      </c>
      <c r="F35" s="632">
        <v>2</v>
      </c>
      <c r="G35" s="631">
        <v>0.15</v>
      </c>
      <c r="H35" s="213">
        <f>E35*F35*G35</f>
        <v>30</v>
      </c>
      <c r="I35" s="212"/>
      <c r="J35" s="221"/>
    </row>
    <row r="36" spans="1:10" s="47" customFormat="1" ht="15" customHeight="1">
      <c r="A36" s="214"/>
      <c r="B36" s="594" t="s">
        <v>8</v>
      </c>
      <c r="C36" s="594"/>
      <c r="D36" s="594"/>
      <c r="E36" s="641">
        <v>510</v>
      </c>
      <c r="F36" s="641">
        <v>5</v>
      </c>
      <c r="G36" s="641">
        <v>0.4</v>
      </c>
      <c r="H36" s="215">
        <f>SUM(H34:H35)</f>
        <v>60</v>
      </c>
      <c r="I36" s="216" t="s">
        <v>91</v>
      </c>
      <c r="J36" s="221"/>
    </row>
    <row r="37" spans="1:10" s="47" customFormat="1" ht="15" customHeight="1">
      <c r="A37" s="214"/>
      <c r="B37" s="212" t="s">
        <v>8</v>
      </c>
      <c r="C37" s="212"/>
      <c r="D37" s="212"/>
      <c r="E37" s="212"/>
      <c r="F37" s="212"/>
      <c r="G37" s="212"/>
      <c r="H37" s="218">
        <f>SUM(H32:H36)</f>
        <v>120</v>
      </c>
      <c r="I37" s="219" t="s">
        <v>91</v>
      </c>
      <c r="J37" s="221"/>
    </row>
    <row r="38" spans="1:10" s="47" customFormat="1" ht="15" customHeight="1">
      <c r="A38" s="211" t="s">
        <v>95</v>
      </c>
      <c r="B38" s="212" t="s">
        <v>144</v>
      </c>
      <c r="C38" s="212"/>
      <c r="D38" s="212"/>
      <c r="E38" s="212"/>
      <c r="F38" s="212"/>
      <c r="G38" s="212"/>
      <c r="H38" s="213"/>
      <c r="I38" s="212"/>
      <c r="J38" s="221"/>
    </row>
    <row r="39" spans="1:10" s="47" customFormat="1" ht="15" customHeight="1">
      <c r="A39" s="214" t="s">
        <v>121</v>
      </c>
      <c r="B39" s="212" t="s">
        <v>148</v>
      </c>
      <c r="C39" s="212"/>
      <c r="D39" s="212"/>
      <c r="E39" s="212"/>
      <c r="F39" s="212"/>
      <c r="G39" s="212"/>
      <c r="H39" s="213" t="s">
        <v>8</v>
      </c>
      <c r="I39" s="212"/>
      <c r="J39" s="221"/>
    </row>
    <row r="40" spans="1:10" s="47" customFormat="1" ht="15" customHeight="1">
      <c r="A40" s="214"/>
      <c r="B40" s="212" t="s">
        <v>198</v>
      </c>
      <c r="C40" s="212"/>
      <c r="D40" s="212"/>
      <c r="E40" s="212"/>
      <c r="F40" s="212"/>
      <c r="G40" s="212"/>
      <c r="H40" s="215">
        <f>H36</f>
        <v>60</v>
      </c>
      <c r="I40" s="216" t="s">
        <v>91</v>
      </c>
      <c r="J40" s="221"/>
    </row>
    <row r="41" spans="1:10" s="47" customFormat="1" ht="15" customHeight="1">
      <c r="A41" s="211"/>
      <c r="B41" s="212" t="s">
        <v>8</v>
      </c>
      <c r="C41" s="212"/>
      <c r="D41" s="212"/>
      <c r="E41" s="212"/>
      <c r="F41" s="212"/>
      <c r="G41" s="212"/>
      <c r="H41" s="594"/>
      <c r="I41" s="594"/>
      <c r="J41" s="221"/>
    </row>
    <row r="42" spans="1:10" s="47" customFormat="1" ht="15" customHeight="1">
      <c r="A42" s="211" t="s">
        <v>96</v>
      </c>
      <c r="B42" s="212" t="s">
        <v>472</v>
      </c>
      <c r="C42" s="212"/>
      <c r="D42" s="212"/>
      <c r="E42" s="212"/>
      <c r="F42" s="212"/>
      <c r="G42" s="212"/>
      <c r="H42" s="213"/>
      <c r="I42" s="212"/>
      <c r="J42" s="221"/>
    </row>
    <row r="43" spans="1:10" s="47" customFormat="1" ht="15" customHeight="1">
      <c r="A43" s="214" t="s">
        <v>121</v>
      </c>
      <c r="B43" s="212" t="s">
        <v>170</v>
      </c>
      <c r="C43" s="212"/>
      <c r="D43" s="212"/>
      <c r="E43" s="212"/>
      <c r="F43" s="212"/>
      <c r="G43" s="212"/>
      <c r="H43" s="213"/>
      <c r="I43" s="212"/>
      <c r="J43" s="221"/>
    </row>
    <row r="44" spans="1:10" s="47" customFormat="1" ht="15" customHeight="1">
      <c r="A44" s="211"/>
      <c r="B44" s="212" t="s">
        <v>477</v>
      </c>
      <c r="C44" s="212"/>
      <c r="D44" s="212"/>
      <c r="E44" s="212"/>
      <c r="F44" s="212"/>
      <c r="G44" s="212"/>
      <c r="H44" s="215">
        <f>H36*1.25*N3</f>
        <v>982.5</v>
      </c>
      <c r="I44" s="216" t="s">
        <v>143</v>
      </c>
      <c r="J44" s="221"/>
    </row>
    <row r="45" spans="1:10" s="47" customFormat="1" ht="15" customHeight="1">
      <c r="A45" s="211"/>
      <c r="B45" s="217"/>
      <c r="C45" s="212"/>
      <c r="D45" s="212"/>
      <c r="E45" s="212"/>
      <c r="F45" s="212"/>
      <c r="G45" s="212"/>
      <c r="H45" s="213"/>
      <c r="I45" s="212"/>
      <c r="J45" s="221"/>
    </row>
    <row r="46" spans="1:10" s="47" customFormat="1" ht="15" customHeight="1">
      <c r="A46" s="211" t="s">
        <v>97</v>
      </c>
      <c r="B46" s="212" t="s">
        <v>125</v>
      </c>
      <c r="C46" s="212"/>
      <c r="D46" s="212"/>
      <c r="E46" s="212"/>
      <c r="F46" s="212"/>
      <c r="G46" s="212"/>
      <c r="H46" s="213"/>
      <c r="I46" s="212"/>
      <c r="J46" s="221"/>
    </row>
    <row r="47" spans="1:10" s="47" customFormat="1" ht="15" customHeight="1">
      <c r="A47" s="214" t="s">
        <v>121</v>
      </c>
      <c r="B47" s="212" t="s">
        <v>126</v>
      </c>
      <c r="C47" s="212"/>
      <c r="D47" s="212"/>
      <c r="E47" s="212"/>
      <c r="F47" s="212"/>
      <c r="G47" s="212"/>
      <c r="H47" s="213"/>
      <c r="I47" s="212"/>
      <c r="J47" s="221"/>
    </row>
    <row r="48" spans="1:10" s="47" customFormat="1" ht="15" customHeight="1">
      <c r="A48" s="211"/>
      <c r="B48" s="212" t="s">
        <v>198</v>
      </c>
      <c r="C48" s="212"/>
      <c r="D48" s="212"/>
      <c r="E48" s="212"/>
      <c r="F48" s="212"/>
      <c r="G48" s="212"/>
      <c r="H48" s="215">
        <f>H36</f>
        <v>60</v>
      </c>
      <c r="I48" s="216" t="s">
        <v>91</v>
      </c>
      <c r="J48" s="221"/>
    </row>
    <row r="49" spans="1:10" s="47" customFormat="1" ht="15" customHeight="1">
      <c r="A49" s="211"/>
      <c r="B49" s="217"/>
      <c r="C49" s="212"/>
      <c r="D49" s="212"/>
      <c r="E49" s="212"/>
      <c r="F49" s="212"/>
      <c r="G49" s="212"/>
      <c r="H49" s="213"/>
      <c r="I49" s="212"/>
      <c r="J49" s="221"/>
    </row>
    <row r="50" spans="1:10" s="47" customFormat="1" ht="15" customHeight="1">
      <c r="A50" s="211" t="s">
        <v>98</v>
      </c>
      <c r="B50" s="334" t="s">
        <v>92</v>
      </c>
      <c r="C50" s="212"/>
      <c r="D50" s="212"/>
      <c r="E50" s="212"/>
      <c r="F50" s="212"/>
      <c r="G50" s="212"/>
      <c r="H50" s="213"/>
      <c r="I50" s="212"/>
      <c r="J50" s="221"/>
    </row>
    <row r="51" spans="1:10" s="47" customFormat="1" ht="15" customHeight="1">
      <c r="A51" s="214" t="s">
        <v>121</v>
      </c>
      <c r="B51" s="212" t="s">
        <v>198</v>
      </c>
      <c r="C51" s="212"/>
      <c r="D51" s="212"/>
      <c r="E51" s="212"/>
      <c r="F51" s="212"/>
      <c r="G51" s="212"/>
      <c r="H51" s="215">
        <f>H36</f>
        <v>60</v>
      </c>
      <c r="I51" s="216" t="s">
        <v>91</v>
      </c>
      <c r="J51" s="221"/>
    </row>
    <row r="52" spans="1:10" s="47" customFormat="1" ht="15" customHeight="1">
      <c r="A52" s="211"/>
      <c r="B52" s="217"/>
      <c r="C52" s="212"/>
      <c r="D52" s="212"/>
      <c r="E52" s="212"/>
      <c r="F52" s="212"/>
      <c r="G52" s="212"/>
      <c r="H52" s="213"/>
      <c r="I52" s="212"/>
      <c r="J52" s="221"/>
    </row>
    <row r="53" spans="1:10" s="47" customFormat="1" ht="15" customHeight="1">
      <c r="A53" s="211" t="s">
        <v>146</v>
      </c>
      <c r="B53" s="212" t="s">
        <v>478</v>
      </c>
      <c r="C53" s="212"/>
      <c r="D53" s="212"/>
      <c r="E53" s="212"/>
      <c r="F53" s="212"/>
      <c r="G53" s="212"/>
      <c r="H53" s="213"/>
      <c r="I53" s="212"/>
      <c r="J53" s="221"/>
    </row>
    <row r="54" spans="1:10" s="47" customFormat="1" ht="15" customHeight="1">
      <c r="A54" s="214" t="s">
        <v>121</v>
      </c>
      <c r="B54" s="212" t="s">
        <v>578</v>
      </c>
      <c r="C54" s="212"/>
      <c r="D54" s="212"/>
      <c r="E54" s="212"/>
      <c r="F54" s="212"/>
      <c r="G54" s="212"/>
      <c r="H54" s="213"/>
      <c r="I54" s="212"/>
      <c r="J54" s="221"/>
    </row>
    <row r="55" spans="1:10" s="47" customFormat="1" ht="15" customHeight="1">
      <c r="A55" s="211"/>
      <c r="B55" s="212" t="s">
        <v>480</v>
      </c>
      <c r="C55" s="212"/>
      <c r="D55" s="212"/>
      <c r="E55" s="212"/>
      <c r="F55" s="212"/>
      <c r="G55" s="212"/>
      <c r="H55" s="215">
        <f>H51*1.15*N4</f>
        <v>3215.4</v>
      </c>
      <c r="I55" s="216" t="s">
        <v>143</v>
      </c>
      <c r="J55" s="221"/>
    </row>
    <row r="56" spans="1:10" s="47" customFormat="1" ht="15" customHeight="1">
      <c r="A56" s="211"/>
      <c r="B56" s="212"/>
      <c r="C56" s="212"/>
      <c r="D56" s="212"/>
      <c r="E56" s="212"/>
      <c r="F56" s="212"/>
      <c r="G56" s="212"/>
      <c r="H56" s="215"/>
      <c r="I56" s="216"/>
      <c r="J56" s="221"/>
    </row>
    <row r="57" spans="1:10" s="47" customFormat="1" ht="15" customHeight="1">
      <c r="A57" s="211" t="s">
        <v>374</v>
      </c>
      <c r="B57" s="212" t="s">
        <v>391</v>
      </c>
      <c r="C57" s="212"/>
      <c r="D57" s="212"/>
      <c r="E57" s="212"/>
      <c r="F57" s="212"/>
      <c r="G57" s="212"/>
      <c r="H57" s="213"/>
      <c r="I57" s="212"/>
      <c r="J57" s="221"/>
    </row>
    <row r="58" spans="1:10" s="47" customFormat="1" ht="15" customHeight="1">
      <c r="A58" s="214" t="s">
        <v>121</v>
      </c>
      <c r="B58" s="212" t="s">
        <v>582</v>
      </c>
      <c r="C58" s="212"/>
      <c r="D58" s="212"/>
      <c r="E58" s="212"/>
      <c r="F58" s="212"/>
      <c r="G58" s="212"/>
      <c r="H58" s="213"/>
      <c r="I58" s="212"/>
      <c r="J58" s="221"/>
    </row>
    <row r="59" spans="1:10" s="47" customFormat="1" ht="15" customHeight="1">
      <c r="A59" s="211"/>
      <c r="B59" s="212" t="s">
        <v>583</v>
      </c>
      <c r="C59" s="212"/>
      <c r="D59" s="212"/>
      <c r="E59" s="212"/>
      <c r="F59" s="212"/>
      <c r="G59" s="212"/>
      <c r="H59" s="215">
        <f>H51*1.7</f>
        <v>102</v>
      </c>
      <c r="I59" s="216" t="s">
        <v>69</v>
      </c>
      <c r="J59" s="221"/>
    </row>
    <row r="60" spans="1:10" s="47" customFormat="1" ht="15" customHeight="1">
      <c r="A60" s="211"/>
      <c r="B60" s="217"/>
      <c r="C60" s="212"/>
      <c r="D60" s="212"/>
      <c r="E60" s="212"/>
      <c r="F60" s="212"/>
      <c r="G60" s="212"/>
      <c r="H60" s="213"/>
      <c r="I60" s="212"/>
      <c r="J60" s="221"/>
    </row>
    <row r="61" spans="1:10" s="47" customFormat="1" ht="15" customHeight="1">
      <c r="A61" s="671" t="s">
        <v>52</v>
      </c>
      <c r="B61" s="670" t="s">
        <v>129</v>
      </c>
      <c r="C61" s="594"/>
      <c r="D61" s="594"/>
      <c r="E61" s="594"/>
      <c r="F61" s="594"/>
      <c r="G61" s="594"/>
      <c r="H61" s="628"/>
      <c r="I61" s="629"/>
      <c r="J61" s="630"/>
    </row>
    <row r="62" spans="1:10" ht="15" customHeight="1">
      <c r="A62" s="170" t="s">
        <v>99</v>
      </c>
      <c r="B62" s="642" t="s">
        <v>483</v>
      </c>
      <c r="C62" s="594"/>
      <c r="D62" s="594"/>
      <c r="E62" s="594"/>
      <c r="F62" s="594"/>
      <c r="G62" s="594"/>
      <c r="H62" s="628"/>
      <c r="I62" s="629"/>
      <c r="J62" s="630"/>
    </row>
    <row r="63" spans="1:10" ht="15" customHeight="1">
      <c r="A63" s="214" t="s">
        <v>121</v>
      </c>
      <c r="B63" s="212" t="s">
        <v>560</v>
      </c>
      <c r="C63" s="594"/>
      <c r="D63" s="594"/>
      <c r="E63" s="594"/>
      <c r="F63" s="594"/>
      <c r="G63" s="594"/>
      <c r="H63" s="628">
        <f>Q4</f>
        <v>3290.7999999999997</v>
      </c>
      <c r="I63" s="216" t="s">
        <v>91</v>
      </c>
      <c r="J63" s="630"/>
    </row>
    <row r="64" spans="1:10" ht="15" customHeight="1">
      <c r="A64" s="214"/>
      <c r="B64" s="629"/>
      <c r="C64" s="594"/>
      <c r="D64" s="594"/>
      <c r="E64" s="594"/>
      <c r="F64" s="594"/>
      <c r="G64" s="594"/>
      <c r="H64" s="628"/>
      <c r="I64" s="629"/>
      <c r="J64" s="630"/>
    </row>
    <row r="65" spans="1:10" ht="15" customHeight="1">
      <c r="A65" s="170" t="s">
        <v>106</v>
      </c>
      <c r="B65" s="642" t="s">
        <v>484</v>
      </c>
      <c r="C65" s="594"/>
      <c r="D65" s="594"/>
      <c r="E65" s="594"/>
      <c r="F65" s="594"/>
      <c r="G65" s="594"/>
      <c r="H65" s="628"/>
      <c r="I65" s="629"/>
      <c r="J65" s="630"/>
    </row>
    <row r="66" spans="1:10" ht="15" customHeight="1">
      <c r="A66" s="214" t="s">
        <v>121</v>
      </c>
      <c r="B66" s="212" t="s">
        <v>561</v>
      </c>
      <c r="C66" s="594"/>
      <c r="D66" s="594"/>
      <c r="E66" s="594"/>
      <c r="F66" s="594"/>
      <c r="G66" s="594"/>
      <c r="H66" s="628">
        <f>Q5</f>
        <v>173.20000000000027</v>
      </c>
      <c r="I66" s="216" t="s">
        <v>91</v>
      </c>
      <c r="J66" s="630"/>
    </row>
    <row r="67" spans="1:10" ht="15" customHeight="1">
      <c r="A67" s="214"/>
      <c r="B67" s="629"/>
      <c r="C67" s="594"/>
      <c r="D67" s="594"/>
      <c r="E67" s="594"/>
      <c r="F67" s="594"/>
      <c r="G67" s="594"/>
      <c r="H67" s="628"/>
      <c r="I67" s="629"/>
      <c r="J67" s="630"/>
    </row>
    <row r="68" spans="1:10" s="47" customFormat="1" ht="15" customHeight="1">
      <c r="A68" s="211" t="s">
        <v>107</v>
      </c>
      <c r="B68" s="212" t="s">
        <v>393</v>
      </c>
      <c r="C68" s="212"/>
      <c r="D68" s="212"/>
      <c r="E68" s="212"/>
      <c r="F68" s="212"/>
      <c r="G68" s="212"/>
      <c r="H68" s="213"/>
      <c r="I68" s="212"/>
      <c r="J68" s="221"/>
    </row>
    <row r="69" spans="1:10" s="47" customFormat="1" ht="15" customHeight="1">
      <c r="A69" s="214" t="s">
        <v>121</v>
      </c>
      <c r="B69" s="212" t="s">
        <v>126</v>
      </c>
      <c r="C69" s="212"/>
      <c r="D69" s="212"/>
      <c r="E69" s="212"/>
      <c r="F69" s="212"/>
      <c r="G69" s="212"/>
      <c r="H69" s="213"/>
      <c r="I69" s="212"/>
      <c r="J69" s="221"/>
    </row>
    <row r="70" spans="1:10" s="47" customFormat="1" ht="15" customHeight="1">
      <c r="A70" s="211"/>
      <c r="B70" s="212" t="s">
        <v>394</v>
      </c>
      <c r="C70" s="212"/>
      <c r="D70" s="212"/>
      <c r="E70" s="212"/>
      <c r="F70" s="212"/>
      <c r="G70" s="212"/>
      <c r="H70" s="215">
        <f>H63+H66</f>
        <v>3464</v>
      </c>
      <c r="I70" s="216" t="s">
        <v>91</v>
      </c>
      <c r="J70" s="221"/>
    </row>
    <row r="71" spans="1:10" s="47" customFormat="1" ht="15" customHeight="1">
      <c r="A71" s="211"/>
      <c r="B71" s="212"/>
      <c r="C71" s="212"/>
      <c r="D71" s="212"/>
      <c r="E71" s="212"/>
      <c r="F71" s="212"/>
      <c r="G71" s="212"/>
      <c r="H71" s="215"/>
      <c r="I71" s="216"/>
      <c r="J71" s="221"/>
    </row>
    <row r="72" spans="1:10" ht="15" customHeight="1">
      <c r="A72" s="211" t="s">
        <v>108</v>
      </c>
      <c r="B72" s="212" t="s">
        <v>473</v>
      </c>
      <c r="C72" s="212"/>
      <c r="D72" s="212"/>
      <c r="E72" s="212"/>
      <c r="F72" s="212"/>
      <c r="G72" s="212"/>
      <c r="H72" s="213"/>
      <c r="I72" s="212"/>
      <c r="J72" s="221"/>
    </row>
    <row r="73" spans="1:10" s="47" customFormat="1" ht="15" customHeight="1">
      <c r="A73" s="214" t="s">
        <v>121</v>
      </c>
      <c r="B73" s="212" t="s">
        <v>579</v>
      </c>
      <c r="C73" s="212"/>
      <c r="D73" s="212"/>
      <c r="E73" s="212"/>
      <c r="F73" s="212"/>
      <c r="G73" s="212"/>
      <c r="H73" s="213"/>
      <c r="I73" s="212"/>
      <c r="J73" s="221"/>
    </row>
    <row r="74" spans="1:10" s="47" customFormat="1" ht="15" customHeight="1">
      <c r="A74" s="214"/>
      <c r="B74" s="212" t="s">
        <v>581</v>
      </c>
      <c r="C74" s="212"/>
      <c r="D74" s="212"/>
      <c r="E74" s="212"/>
      <c r="F74" s="212"/>
      <c r="G74" s="212"/>
      <c r="H74" s="215">
        <f>((H63*1.25+H66*1)-(H81))*N3</f>
        <v>54623.070000000007</v>
      </c>
      <c r="I74" s="216" t="s">
        <v>143</v>
      </c>
      <c r="J74" s="221"/>
    </row>
    <row r="75" spans="1:10" s="47" customFormat="1" ht="15" customHeight="1">
      <c r="A75" s="211"/>
      <c r="B75" s="212" t="s">
        <v>8</v>
      </c>
      <c r="C75" s="212"/>
      <c r="D75" s="212"/>
      <c r="E75" s="212"/>
      <c r="F75" s="212"/>
      <c r="G75" s="212"/>
      <c r="H75" s="218">
        <f>SUM(H74)</f>
        <v>54623.070000000007</v>
      </c>
      <c r="I75" s="219" t="s">
        <v>143</v>
      </c>
      <c r="J75" s="221"/>
    </row>
    <row r="76" spans="1:10" s="47" customFormat="1" ht="15" customHeight="1">
      <c r="A76" s="211" t="s">
        <v>248</v>
      </c>
      <c r="B76" s="212" t="s">
        <v>125</v>
      </c>
      <c r="C76" s="212"/>
      <c r="D76" s="212"/>
      <c r="E76" s="212"/>
      <c r="F76" s="212"/>
      <c r="G76" s="212"/>
      <c r="H76" s="213"/>
      <c r="I76" s="212"/>
      <c r="J76" s="221"/>
    </row>
    <row r="77" spans="1:10" s="47" customFormat="1" ht="15" customHeight="1">
      <c r="A77" s="214" t="s">
        <v>121</v>
      </c>
      <c r="B77" s="212" t="s">
        <v>580</v>
      </c>
      <c r="C77" s="212"/>
      <c r="D77" s="212"/>
      <c r="E77" s="212"/>
      <c r="F77" s="212"/>
      <c r="G77" s="212"/>
      <c r="H77" s="213"/>
      <c r="I77" s="212"/>
      <c r="J77" s="221"/>
    </row>
    <row r="78" spans="1:10" s="47" customFormat="1" ht="15" customHeight="1">
      <c r="A78" s="214"/>
      <c r="B78" s="212" t="s">
        <v>643</v>
      </c>
      <c r="C78" s="212"/>
      <c r="D78" s="212"/>
      <c r="E78" s="212"/>
      <c r="F78" s="212"/>
      <c r="G78" s="212"/>
      <c r="H78" s="215">
        <f>(H63*1.25+H66*1)-(H81)</f>
        <v>4169.7000000000007</v>
      </c>
      <c r="I78" s="216" t="s">
        <v>91</v>
      </c>
      <c r="J78" s="221"/>
    </row>
    <row r="79" spans="1:10" s="47" customFormat="1" ht="15" customHeight="1">
      <c r="A79" s="211"/>
      <c r="B79" s="212" t="s">
        <v>8</v>
      </c>
      <c r="C79" s="212"/>
      <c r="D79" s="212"/>
      <c r="E79" s="212"/>
      <c r="F79" s="212"/>
      <c r="G79" s="212"/>
      <c r="H79" s="218">
        <f>SUM(H78)</f>
        <v>4169.7000000000007</v>
      </c>
      <c r="I79" s="219" t="s">
        <v>91</v>
      </c>
      <c r="J79" s="221"/>
    </row>
    <row r="80" spans="1:10" ht="15" customHeight="1">
      <c r="A80" s="211" t="s">
        <v>382</v>
      </c>
      <c r="B80" s="212" t="s">
        <v>130</v>
      </c>
      <c r="C80" s="212"/>
      <c r="D80" s="212"/>
      <c r="E80" s="212"/>
      <c r="F80" s="212"/>
      <c r="G80" s="212"/>
      <c r="H80" s="213"/>
      <c r="I80" s="212"/>
      <c r="J80" s="221"/>
    </row>
    <row r="81" spans="1:17" s="47" customFormat="1" ht="15" customHeight="1">
      <c r="A81" s="214" t="s">
        <v>121</v>
      </c>
      <c r="B81" s="212" t="s">
        <v>584</v>
      </c>
      <c r="C81" s="212"/>
      <c r="D81" s="212"/>
      <c r="E81" s="212"/>
      <c r="F81" s="212"/>
      <c r="G81" s="212"/>
      <c r="H81" s="215">
        <f>Q6</f>
        <v>117</v>
      </c>
      <c r="I81" s="216" t="s">
        <v>91</v>
      </c>
      <c r="J81" s="221"/>
    </row>
    <row r="82" spans="1:17" s="47" customFormat="1" ht="15" customHeight="1">
      <c r="A82" s="211"/>
      <c r="B82" s="212" t="s">
        <v>8</v>
      </c>
      <c r="C82" s="212"/>
      <c r="D82" s="212"/>
      <c r="E82" s="212"/>
      <c r="F82" s="212"/>
      <c r="G82" s="212"/>
      <c r="H82" s="594"/>
      <c r="I82" s="594"/>
      <c r="J82" s="221"/>
      <c r="K82" s="576"/>
      <c r="L82" s="576"/>
      <c r="M82" s="576"/>
      <c r="N82" s="576"/>
      <c r="O82" s="576"/>
      <c r="P82" s="576"/>
      <c r="Q82" s="576"/>
    </row>
    <row r="83" spans="1:17" ht="15" customHeight="1">
      <c r="A83" s="566" t="s">
        <v>459</v>
      </c>
      <c r="B83" s="567" t="s">
        <v>489</v>
      </c>
      <c r="C83" s="567"/>
      <c r="D83" s="567"/>
      <c r="E83" s="567"/>
      <c r="F83" s="567"/>
      <c r="G83" s="567"/>
      <c r="H83" s="567"/>
      <c r="I83" s="567"/>
      <c r="J83" s="573"/>
      <c r="K83" s="577"/>
      <c r="L83" s="583"/>
      <c r="M83" s="585"/>
      <c r="N83" s="579"/>
      <c r="O83" s="579"/>
      <c r="P83" s="579"/>
      <c r="Q83" s="578"/>
    </row>
    <row r="84" spans="1:17" s="47" customFormat="1" ht="15" customHeight="1">
      <c r="A84" s="568" t="s">
        <v>121</v>
      </c>
      <c r="B84" s="212" t="s">
        <v>476</v>
      </c>
      <c r="C84" s="212"/>
      <c r="D84" s="212"/>
      <c r="E84" s="212"/>
      <c r="F84" s="212"/>
      <c r="G84" s="212"/>
      <c r="H84" s="213" t="s">
        <v>8</v>
      </c>
      <c r="I84" s="212"/>
      <c r="J84" s="573"/>
      <c r="K84" s="580"/>
      <c r="L84" s="584"/>
      <c r="M84" s="586"/>
      <c r="N84" s="581"/>
      <c r="O84" s="581"/>
      <c r="P84" s="581"/>
      <c r="Q84" s="576"/>
    </row>
    <row r="85" spans="1:17" s="47" customFormat="1" ht="15" customHeight="1">
      <c r="A85" s="566"/>
      <c r="B85" s="631" t="s">
        <v>161</v>
      </c>
      <c r="C85" s="631" t="s">
        <v>159</v>
      </c>
      <c r="D85" s="631" t="s">
        <v>160</v>
      </c>
      <c r="E85" s="631" t="s">
        <v>162</v>
      </c>
      <c r="F85" s="631" t="s">
        <v>490</v>
      </c>
      <c r="G85" s="631"/>
      <c r="H85" s="631" t="s">
        <v>163</v>
      </c>
      <c r="I85" s="212"/>
      <c r="J85" s="573"/>
      <c r="K85" s="576"/>
      <c r="L85" s="576"/>
      <c r="M85" s="576"/>
      <c r="N85" s="581"/>
      <c r="O85" s="576"/>
      <c r="P85" s="576"/>
      <c r="Q85" s="576"/>
    </row>
    <row r="86" spans="1:17" s="47" customFormat="1" ht="15" customHeight="1">
      <c r="A86" s="566"/>
      <c r="B86" s="631">
        <v>0</v>
      </c>
      <c r="C86" s="631" t="s">
        <v>469</v>
      </c>
      <c r="D86" s="631" t="s">
        <v>164</v>
      </c>
      <c r="E86" s="632">
        <v>900</v>
      </c>
      <c r="F86" s="632">
        <v>0.3</v>
      </c>
      <c r="G86" s="631"/>
      <c r="H86" s="213">
        <f t="shared" ref="H86:H87" si="1">E86*F86</f>
        <v>270</v>
      </c>
      <c r="I86" s="212"/>
      <c r="J86" s="573"/>
      <c r="K86" s="576"/>
      <c r="L86" s="576"/>
      <c r="M86" s="576"/>
      <c r="N86" s="581"/>
      <c r="O86" s="582"/>
      <c r="P86" s="582"/>
      <c r="Q86" s="582"/>
    </row>
    <row r="87" spans="1:17" s="47" customFormat="1" ht="15" customHeight="1">
      <c r="A87" s="566"/>
      <c r="B87" s="631">
        <v>0</v>
      </c>
      <c r="C87" s="631" t="s">
        <v>469</v>
      </c>
      <c r="D87" s="631" t="s">
        <v>189</v>
      </c>
      <c r="E87" s="632">
        <v>900</v>
      </c>
      <c r="F87" s="632">
        <v>0.3</v>
      </c>
      <c r="G87" s="631"/>
      <c r="H87" s="213">
        <f t="shared" si="1"/>
        <v>270</v>
      </c>
      <c r="I87" s="212"/>
      <c r="J87" s="573"/>
      <c r="K87" s="576"/>
      <c r="L87" s="576"/>
      <c r="M87" s="576"/>
      <c r="N87" s="581"/>
      <c r="O87" s="582"/>
      <c r="P87" s="582"/>
      <c r="Q87" s="582"/>
    </row>
    <row r="88" spans="1:17" s="47" customFormat="1" ht="15" customHeight="1">
      <c r="A88" s="566"/>
      <c r="B88" s="594" t="s">
        <v>8</v>
      </c>
      <c r="C88" s="594"/>
      <c r="D88" s="594"/>
      <c r="E88" s="641">
        <v>510</v>
      </c>
      <c r="F88" s="641">
        <v>5</v>
      </c>
      <c r="G88" s="641">
        <v>0.4</v>
      </c>
      <c r="H88" s="215">
        <f>SUM(H86:H87)</f>
        <v>540</v>
      </c>
      <c r="I88" s="216" t="s">
        <v>90</v>
      </c>
      <c r="J88" s="573"/>
      <c r="N88" s="565"/>
    </row>
    <row r="89" spans="1:17" s="47" customFormat="1" ht="15" customHeight="1">
      <c r="A89" s="214"/>
      <c r="B89" s="629"/>
      <c r="C89" s="594"/>
      <c r="D89" s="594"/>
      <c r="E89" s="594"/>
      <c r="F89" s="594"/>
      <c r="G89" s="594"/>
      <c r="H89" s="628"/>
      <c r="I89" s="629"/>
      <c r="J89" s="630"/>
    </row>
    <row r="90" spans="1:17" ht="15" customHeight="1">
      <c r="A90" s="599" t="s">
        <v>76</v>
      </c>
      <c r="B90" s="619" t="s">
        <v>49</v>
      </c>
      <c r="C90" s="595"/>
      <c r="D90" s="595"/>
      <c r="E90" s="595"/>
      <c r="F90" s="595"/>
      <c r="G90" s="595"/>
      <c r="H90" s="596"/>
      <c r="I90" s="597"/>
      <c r="J90" s="598"/>
    </row>
    <row r="91" spans="1:17" ht="15" customHeight="1">
      <c r="A91" s="211" t="s">
        <v>48</v>
      </c>
      <c r="B91" s="594" t="s">
        <v>131</v>
      </c>
      <c r="C91" s="593"/>
      <c r="D91" s="593"/>
      <c r="E91" s="593"/>
      <c r="F91" s="593"/>
      <c r="G91" s="593"/>
      <c r="H91" s="213"/>
      <c r="I91" s="594"/>
      <c r="J91" s="221"/>
    </row>
    <row r="92" spans="1:17" ht="15" customHeight="1">
      <c r="A92" s="214" t="s">
        <v>121</v>
      </c>
      <c r="B92" s="594" t="s">
        <v>491</v>
      </c>
      <c r="C92" s="593"/>
      <c r="D92" s="593"/>
      <c r="E92" s="631" t="s">
        <v>492</v>
      </c>
      <c r="F92" s="631" t="s">
        <v>493</v>
      </c>
      <c r="G92" s="593"/>
      <c r="H92" s="643"/>
      <c r="I92" s="623"/>
      <c r="J92" s="221"/>
    </row>
    <row r="93" spans="1:17" ht="15" customHeight="1">
      <c r="A93" s="214"/>
      <c r="B93" s="594" t="s">
        <v>565</v>
      </c>
      <c r="C93" s="593"/>
      <c r="D93" s="593"/>
      <c r="E93" s="639">
        <v>0</v>
      </c>
      <c r="F93" s="640">
        <v>0</v>
      </c>
      <c r="G93" s="593"/>
      <c r="H93" s="213">
        <f>T1</f>
        <v>35.299999999999997</v>
      </c>
      <c r="I93" s="594" t="s">
        <v>90</v>
      </c>
      <c r="J93" s="221"/>
    </row>
    <row r="94" spans="1:17" ht="15" customHeight="1">
      <c r="A94" s="214"/>
      <c r="B94" s="594" t="s">
        <v>564</v>
      </c>
      <c r="C94" s="593"/>
      <c r="D94" s="593"/>
      <c r="E94" s="639">
        <v>900</v>
      </c>
      <c r="F94" s="640">
        <v>8.9</v>
      </c>
      <c r="G94" s="593"/>
      <c r="H94" s="213">
        <f>E94*F94</f>
        <v>8010</v>
      </c>
      <c r="I94" s="594" t="s">
        <v>90</v>
      </c>
      <c r="J94" s="221"/>
    </row>
    <row r="95" spans="1:17" ht="15" customHeight="1">
      <c r="A95" s="214"/>
      <c r="B95" s="594" t="s">
        <v>56</v>
      </c>
      <c r="C95" s="593"/>
      <c r="D95" s="593"/>
      <c r="E95" s="639"/>
      <c r="F95" s="640"/>
      <c r="G95" s="593"/>
      <c r="H95" s="215">
        <f>SUM(H93:H94)</f>
        <v>8045.3</v>
      </c>
      <c r="I95" s="592" t="s">
        <v>90</v>
      </c>
      <c r="J95" s="221"/>
    </row>
    <row r="96" spans="1:17" ht="15" customHeight="1">
      <c r="A96" s="214"/>
      <c r="B96" s="594" t="s">
        <v>8</v>
      </c>
      <c r="C96" s="594" t="s">
        <v>8</v>
      </c>
      <c r="D96" s="639"/>
      <c r="E96" s="639"/>
      <c r="F96" s="639"/>
      <c r="G96" s="639"/>
      <c r="H96" s="643"/>
      <c r="I96" s="623"/>
      <c r="J96" s="221"/>
    </row>
    <row r="97" spans="1:10" ht="15" customHeight="1">
      <c r="A97" s="211" t="s">
        <v>46</v>
      </c>
      <c r="B97" s="626" t="s">
        <v>396</v>
      </c>
      <c r="C97" s="212"/>
      <c r="D97" s="212"/>
      <c r="E97" s="212"/>
      <c r="F97" s="212"/>
      <c r="G97" s="212"/>
      <c r="H97" s="213"/>
      <c r="I97" s="212"/>
      <c r="J97" s="221"/>
    </row>
    <row r="98" spans="1:10" ht="15" customHeight="1">
      <c r="A98" s="214" t="s">
        <v>121</v>
      </c>
      <c r="B98" s="594" t="s">
        <v>506</v>
      </c>
      <c r="C98" s="631"/>
      <c r="D98" s="631" t="s">
        <v>566</v>
      </c>
      <c r="E98" s="631" t="s">
        <v>492</v>
      </c>
      <c r="F98" s="631" t="s">
        <v>499</v>
      </c>
      <c r="G98" s="593" t="s">
        <v>498</v>
      </c>
      <c r="H98" s="213"/>
      <c r="I98" s="594"/>
      <c r="J98" s="221"/>
    </row>
    <row r="99" spans="1:10" ht="15" customHeight="1">
      <c r="A99" s="214"/>
      <c r="B99" s="594" t="s">
        <v>565</v>
      </c>
      <c r="C99" s="593"/>
      <c r="D99" s="659">
        <f>T1</f>
        <v>35.299999999999997</v>
      </c>
      <c r="E99" s="639">
        <v>0</v>
      </c>
      <c r="F99" s="640">
        <v>0</v>
      </c>
      <c r="G99" s="640">
        <v>0.2</v>
      </c>
      <c r="H99" s="679">
        <f>D99*G99</f>
        <v>7.06</v>
      </c>
      <c r="I99" s="594" t="s">
        <v>91</v>
      </c>
      <c r="J99" s="221"/>
    </row>
    <row r="100" spans="1:10" ht="15" customHeight="1">
      <c r="A100" s="214"/>
      <c r="B100" s="594" t="s">
        <v>564</v>
      </c>
      <c r="C100" s="639" t="s">
        <v>8</v>
      </c>
      <c r="D100" s="623"/>
      <c r="E100" s="639">
        <f>J4</f>
        <v>900</v>
      </c>
      <c r="F100" s="640">
        <f>T4</f>
        <v>8.6999999999999993</v>
      </c>
      <c r="G100" s="640">
        <v>0.2</v>
      </c>
      <c r="H100" s="679">
        <f>E100*F100*G100</f>
        <v>1566</v>
      </c>
      <c r="I100" s="594" t="s">
        <v>91</v>
      </c>
      <c r="J100" s="221"/>
    </row>
    <row r="101" spans="1:10" ht="15" customHeight="1">
      <c r="A101" s="214"/>
      <c r="B101" s="594" t="s">
        <v>56</v>
      </c>
      <c r="C101" s="639"/>
      <c r="D101" s="623"/>
      <c r="E101" s="639"/>
      <c r="F101" s="640"/>
      <c r="G101" s="640"/>
      <c r="H101" s="215">
        <f>SUM(H99:H100)</f>
        <v>1573.06</v>
      </c>
      <c r="I101" s="216" t="s">
        <v>91</v>
      </c>
      <c r="J101" s="221"/>
    </row>
    <row r="102" spans="1:10" ht="15" customHeight="1">
      <c r="A102" s="214"/>
      <c r="B102" s="594"/>
      <c r="C102" s="639"/>
      <c r="D102" s="623"/>
      <c r="E102" s="639"/>
      <c r="F102" s="640"/>
      <c r="G102" s="640"/>
      <c r="H102" s="215"/>
      <c r="I102" s="216"/>
      <c r="J102" s="221"/>
    </row>
    <row r="103" spans="1:10" s="47" customFormat="1" ht="15" customHeight="1">
      <c r="A103" s="211" t="s">
        <v>45</v>
      </c>
      <c r="B103" s="212" t="s">
        <v>500</v>
      </c>
      <c r="C103" s="212"/>
      <c r="D103" s="212"/>
      <c r="E103" s="212"/>
      <c r="F103" s="212"/>
      <c r="G103" s="212"/>
      <c r="H103" s="213"/>
      <c r="I103" s="212"/>
      <c r="J103" s="221"/>
    </row>
    <row r="104" spans="1:10" s="47" customFormat="1" ht="15" customHeight="1">
      <c r="A104" s="214" t="s">
        <v>121</v>
      </c>
      <c r="B104" s="212" t="s">
        <v>501</v>
      </c>
      <c r="C104" s="212"/>
      <c r="D104" s="212"/>
      <c r="E104" s="212"/>
      <c r="F104" s="212"/>
      <c r="G104" s="212"/>
      <c r="H104" s="213"/>
      <c r="I104" s="212"/>
      <c r="J104" s="221"/>
    </row>
    <row r="105" spans="1:10" s="47" customFormat="1" ht="15" customHeight="1">
      <c r="A105" s="214"/>
      <c r="B105" s="212" t="s">
        <v>502</v>
      </c>
      <c r="C105" s="212"/>
      <c r="D105" s="212"/>
      <c r="E105" s="212"/>
      <c r="F105" s="212"/>
      <c r="G105" s="212"/>
      <c r="H105" s="215">
        <f>H101*1.15*N4</f>
        <v>84300.285399999993</v>
      </c>
      <c r="I105" s="216" t="s">
        <v>143</v>
      </c>
      <c r="J105" s="221"/>
    </row>
    <row r="106" spans="1:10" s="47" customFormat="1" ht="15" customHeight="1">
      <c r="A106" s="211"/>
      <c r="B106" s="594" t="s">
        <v>8</v>
      </c>
      <c r="C106" s="212"/>
      <c r="D106" s="212"/>
      <c r="E106" s="212"/>
      <c r="F106" s="212"/>
      <c r="G106" s="212"/>
      <c r="H106" s="594"/>
      <c r="I106" s="594"/>
      <c r="J106" s="221"/>
    </row>
    <row r="107" spans="1:10" s="47" customFormat="1" ht="15" customHeight="1">
      <c r="A107" s="211" t="s">
        <v>44</v>
      </c>
      <c r="B107" s="212" t="s">
        <v>391</v>
      </c>
      <c r="C107" s="212"/>
      <c r="D107" s="212"/>
      <c r="E107" s="212"/>
      <c r="F107" s="212"/>
      <c r="G107" s="212"/>
      <c r="H107" s="213"/>
      <c r="I107" s="212"/>
      <c r="J107" s="221"/>
    </row>
    <row r="108" spans="1:10" s="47" customFormat="1" ht="15" customHeight="1">
      <c r="A108" s="214" t="s">
        <v>121</v>
      </c>
      <c r="B108" s="212" t="s">
        <v>392</v>
      </c>
      <c r="C108" s="212"/>
      <c r="D108" s="212"/>
      <c r="E108" s="212"/>
      <c r="F108" s="212"/>
      <c r="G108" s="212"/>
      <c r="H108" s="213"/>
      <c r="I108" s="212"/>
      <c r="J108" s="221"/>
    </row>
    <row r="109" spans="1:10" s="47" customFormat="1" ht="15" customHeight="1">
      <c r="A109" s="211"/>
      <c r="B109" s="212" t="s">
        <v>397</v>
      </c>
      <c r="C109" s="212"/>
      <c r="D109" s="212"/>
      <c r="E109" s="212"/>
      <c r="F109" s="212"/>
      <c r="G109" s="212"/>
      <c r="H109" s="215">
        <f>H101*1.7</f>
        <v>2674.2019999999998</v>
      </c>
      <c r="I109" s="216" t="s">
        <v>69</v>
      </c>
      <c r="J109" s="221"/>
    </row>
    <row r="110" spans="1:10" s="47" customFormat="1" ht="15" customHeight="1">
      <c r="A110" s="211"/>
      <c r="B110" s="212"/>
      <c r="C110" s="212"/>
      <c r="D110" s="212"/>
      <c r="E110" s="212"/>
      <c r="F110" s="212"/>
      <c r="G110" s="212"/>
      <c r="H110" s="215"/>
      <c r="I110" s="216"/>
      <c r="J110" s="221"/>
    </row>
    <row r="111" spans="1:10" ht="15" customHeight="1">
      <c r="A111" s="211" t="s">
        <v>43</v>
      </c>
      <c r="B111" s="626" t="s">
        <v>166</v>
      </c>
      <c r="C111" s="212"/>
      <c r="D111" s="212"/>
      <c r="E111" s="212"/>
      <c r="F111" s="212"/>
      <c r="G111" s="212"/>
      <c r="H111" s="213"/>
      <c r="I111" s="212"/>
      <c r="J111" s="221"/>
    </row>
    <row r="112" spans="1:10" ht="15" customHeight="1">
      <c r="A112" s="214" t="s">
        <v>121</v>
      </c>
      <c r="B112" s="594" t="s">
        <v>506</v>
      </c>
      <c r="C112" s="631"/>
      <c r="D112" s="631" t="s">
        <v>566</v>
      </c>
      <c r="E112" s="631" t="s">
        <v>492</v>
      </c>
      <c r="F112" s="631" t="s">
        <v>499</v>
      </c>
      <c r="G112" s="593" t="s">
        <v>165</v>
      </c>
      <c r="H112" s="213"/>
      <c r="I112" s="594"/>
      <c r="J112" s="221"/>
    </row>
    <row r="113" spans="1:10" ht="15" customHeight="1">
      <c r="A113" s="214"/>
      <c r="B113" s="594" t="s">
        <v>565</v>
      </c>
      <c r="C113" s="593"/>
      <c r="D113" s="659">
        <f>T1</f>
        <v>35.299999999999997</v>
      </c>
      <c r="E113" s="639">
        <v>0</v>
      </c>
      <c r="F113" s="640">
        <v>0</v>
      </c>
      <c r="G113" s="640">
        <v>0.2</v>
      </c>
      <c r="H113" s="213">
        <f>D113*G113</f>
        <v>7.06</v>
      </c>
      <c r="I113" s="594" t="s">
        <v>91</v>
      </c>
      <c r="J113" s="221"/>
    </row>
    <row r="114" spans="1:10" ht="15" customHeight="1">
      <c r="A114" s="214"/>
      <c r="B114" s="594" t="s">
        <v>564</v>
      </c>
      <c r="C114" s="639" t="s">
        <v>8</v>
      </c>
      <c r="D114" s="623"/>
      <c r="E114" s="639">
        <f>J4</f>
        <v>900</v>
      </c>
      <c r="F114" s="640">
        <f>T5</f>
        <v>8.3000000000000007</v>
      </c>
      <c r="G114" s="640">
        <v>0.2</v>
      </c>
      <c r="H114" s="679">
        <f>E114*F114*G114</f>
        <v>1494.0000000000002</v>
      </c>
      <c r="I114" s="594" t="s">
        <v>91</v>
      </c>
      <c r="J114" s="221"/>
    </row>
    <row r="115" spans="1:10" ht="15" customHeight="1">
      <c r="A115" s="214"/>
      <c r="B115" s="594" t="s">
        <v>56</v>
      </c>
      <c r="C115" s="639"/>
      <c r="D115" s="623"/>
      <c r="E115" s="639"/>
      <c r="F115" s="640"/>
      <c r="G115" s="640"/>
      <c r="H115" s="215">
        <f>SUM(H113:H114)</f>
        <v>1501.0600000000002</v>
      </c>
      <c r="I115" s="216" t="s">
        <v>91</v>
      </c>
      <c r="J115" s="221"/>
    </row>
    <row r="116" spans="1:10" ht="15" customHeight="1">
      <c r="A116" s="214"/>
      <c r="B116" s="594"/>
      <c r="C116" s="639"/>
      <c r="D116" s="623"/>
      <c r="E116" s="639"/>
      <c r="F116" s="640"/>
      <c r="G116" s="640"/>
      <c r="H116" s="215"/>
      <c r="I116" s="216"/>
      <c r="J116" s="221"/>
    </row>
    <row r="117" spans="1:10" s="47" customFormat="1" ht="15" customHeight="1">
      <c r="A117" s="211" t="s">
        <v>42</v>
      </c>
      <c r="B117" s="212" t="s">
        <v>479</v>
      </c>
      <c r="C117" s="212"/>
      <c r="D117" s="212"/>
      <c r="E117" s="212"/>
      <c r="F117" s="212"/>
      <c r="G117" s="212"/>
      <c r="H117" s="213"/>
      <c r="I117" s="212"/>
      <c r="J117" s="221"/>
    </row>
    <row r="118" spans="1:10" s="47" customFormat="1" ht="15" customHeight="1">
      <c r="A118" s="214" t="s">
        <v>121</v>
      </c>
      <c r="B118" s="212" t="s">
        <v>249</v>
      </c>
      <c r="C118" s="212"/>
      <c r="D118" s="212"/>
      <c r="E118" s="212"/>
      <c r="F118" s="212"/>
      <c r="G118" s="212"/>
      <c r="H118" s="213"/>
      <c r="I118" s="212"/>
      <c r="J118" s="221"/>
    </row>
    <row r="119" spans="1:10" s="47" customFormat="1" ht="15" customHeight="1">
      <c r="A119" s="214"/>
      <c r="B119" s="212" t="s">
        <v>503</v>
      </c>
      <c r="C119" s="212"/>
      <c r="D119" s="212"/>
      <c r="E119" s="212"/>
      <c r="F119" s="212"/>
      <c r="G119" s="212"/>
      <c r="H119" s="215">
        <f>H115*1.46*N4</f>
        <v>102126.11816000001</v>
      </c>
      <c r="I119" s="216" t="s">
        <v>143</v>
      </c>
      <c r="J119" s="221"/>
    </row>
    <row r="120" spans="1:10" s="47" customFormat="1" ht="15" customHeight="1">
      <c r="A120" s="211"/>
      <c r="B120" s="594" t="s">
        <v>8</v>
      </c>
      <c r="C120" s="212"/>
      <c r="D120" s="212"/>
      <c r="E120" s="212"/>
      <c r="F120" s="212"/>
      <c r="G120" s="212"/>
      <c r="H120" s="594"/>
      <c r="I120" s="594"/>
      <c r="J120" s="221"/>
    </row>
    <row r="121" spans="1:10" s="47" customFormat="1" ht="15" customHeight="1">
      <c r="A121" s="211" t="s">
        <v>41</v>
      </c>
      <c r="B121" s="212" t="s">
        <v>398</v>
      </c>
      <c r="C121" s="212"/>
      <c r="D121" s="212"/>
      <c r="E121" s="631"/>
      <c r="F121" s="631"/>
      <c r="G121" s="212"/>
      <c r="H121" s="213"/>
      <c r="I121" s="212"/>
      <c r="J121" s="221"/>
    </row>
    <row r="122" spans="1:10" s="47" customFormat="1" ht="15" customHeight="1">
      <c r="A122" s="214" t="s">
        <v>121</v>
      </c>
      <c r="B122" s="212" t="s">
        <v>392</v>
      </c>
      <c r="C122" s="212"/>
      <c r="D122" s="212"/>
      <c r="E122" s="639"/>
      <c r="F122" s="640"/>
      <c r="G122" s="212"/>
      <c r="H122" s="213"/>
      <c r="I122" s="212"/>
      <c r="J122" s="221"/>
    </row>
    <row r="123" spans="1:10" s="47" customFormat="1" ht="15" customHeight="1">
      <c r="A123" s="211"/>
      <c r="B123" s="212" t="s">
        <v>399</v>
      </c>
      <c r="C123" s="212"/>
      <c r="D123" s="212"/>
      <c r="E123" s="212"/>
      <c r="F123" s="212"/>
      <c r="G123" s="212"/>
      <c r="H123" s="215">
        <f>H115*1.5</f>
        <v>2251.59</v>
      </c>
      <c r="I123" s="216" t="s">
        <v>69</v>
      </c>
      <c r="J123" s="221"/>
    </row>
    <row r="124" spans="1:10" s="47" customFormat="1" ht="15" customHeight="1">
      <c r="A124" s="211"/>
      <c r="B124" s="212"/>
      <c r="C124" s="212"/>
      <c r="D124" s="212"/>
      <c r="E124" s="212"/>
      <c r="F124" s="212"/>
      <c r="G124" s="212"/>
      <c r="H124" s="215"/>
      <c r="I124" s="216"/>
      <c r="J124" s="221"/>
    </row>
    <row r="125" spans="1:10" ht="15" customHeight="1">
      <c r="A125" s="170" t="s">
        <v>40</v>
      </c>
      <c r="B125" s="642" t="s">
        <v>132</v>
      </c>
      <c r="C125" s="594"/>
      <c r="D125" s="594"/>
      <c r="G125" s="594"/>
      <c r="H125" s="644"/>
      <c r="I125" s="212"/>
      <c r="J125" s="645"/>
    </row>
    <row r="126" spans="1:10" ht="15" customHeight="1">
      <c r="A126" s="214" t="s">
        <v>121</v>
      </c>
      <c r="B126" s="594" t="s">
        <v>505</v>
      </c>
      <c r="C126" s="631"/>
      <c r="D126" s="631"/>
      <c r="E126" s="631" t="s">
        <v>492</v>
      </c>
      <c r="F126" s="631" t="s">
        <v>504</v>
      </c>
      <c r="G126" s="212"/>
      <c r="H126" s="48"/>
      <c r="I126" s="574"/>
      <c r="J126" s="645"/>
    </row>
    <row r="127" spans="1:10" ht="15" customHeight="1">
      <c r="A127" s="214"/>
      <c r="B127" s="594" t="s">
        <v>565</v>
      </c>
      <c r="C127" s="631"/>
      <c r="D127" s="631"/>
      <c r="E127" s="639" t="s">
        <v>8</v>
      </c>
      <c r="F127" s="640" t="s">
        <v>8</v>
      </c>
      <c r="G127" s="212"/>
      <c r="H127" s="213">
        <f>T1</f>
        <v>35.299999999999997</v>
      </c>
      <c r="I127" s="594" t="s">
        <v>90</v>
      </c>
      <c r="J127" s="645"/>
    </row>
    <row r="128" spans="1:10" ht="15" customHeight="1">
      <c r="A128" s="214"/>
      <c r="B128" s="594" t="s">
        <v>564</v>
      </c>
      <c r="C128" s="631"/>
      <c r="D128" s="631"/>
      <c r="E128" s="639">
        <v>900</v>
      </c>
      <c r="F128" s="640">
        <f>T6</f>
        <v>8</v>
      </c>
      <c r="G128" s="212"/>
      <c r="H128" s="213">
        <f>E128*F128</f>
        <v>7200</v>
      </c>
      <c r="I128" s="594" t="s">
        <v>90</v>
      </c>
      <c r="J128" s="645"/>
    </row>
    <row r="129" spans="1:10" ht="15" customHeight="1">
      <c r="A129" s="214"/>
      <c r="B129" s="594" t="s">
        <v>56</v>
      </c>
      <c r="C129" s="631"/>
      <c r="D129" s="631"/>
      <c r="E129" s="639"/>
      <c r="F129" s="640"/>
      <c r="G129" s="212"/>
      <c r="H129" s="215">
        <f>SUM(H127:H128)</f>
        <v>7235.3</v>
      </c>
      <c r="I129" s="592" t="s">
        <v>90</v>
      </c>
      <c r="J129" s="645"/>
    </row>
    <row r="130" spans="1:10" ht="15" customHeight="1">
      <c r="A130" s="214" t="s">
        <v>8</v>
      </c>
      <c r="B130" s="212" t="s">
        <v>8</v>
      </c>
      <c r="C130" s="594"/>
      <c r="D130" s="594"/>
      <c r="E130" s="594"/>
      <c r="F130" s="594"/>
      <c r="G130" s="594"/>
      <c r="H130" s="623"/>
      <c r="I130" s="623"/>
      <c r="J130" s="645"/>
    </row>
    <row r="131" spans="1:10" ht="15" customHeight="1">
      <c r="A131" s="211" t="s">
        <v>70</v>
      </c>
      <c r="B131" s="626" t="s">
        <v>395</v>
      </c>
      <c r="C131" s="212"/>
      <c r="D131" s="212"/>
      <c r="F131" s="574"/>
      <c r="G131" s="212"/>
      <c r="H131" s="644"/>
      <c r="I131" s="212"/>
      <c r="J131" s="221"/>
    </row>
    <row r="132" spans="1:10" ht="15" customHeight="1">
      <c r="A132" s="214" t="s">
        <v>121</v>
      </c>
      <c r="B132" s="594" t="s">
        <v>505</v>
      </c>
      <c r="C132" s="631"/>
      <c r="D132" s="631"/>
      <c r="E132" s="631" t="s">
        <v>492</v>
      </c>
      <c r="F132" s="631" t="s">
        <v>504</v>
      </c>
      <c r="G132" s="212"/>
      <c r="H132" s="48"/>
      <c r="I132" s="574"/>
      <c r="J132" s="645"/>
    </row>
    <row r="133" spans="1:10" ht="15" customHeight="1">
      <c r="A133" s="214"/>
      <c r="B133" s="594" t="s">
        <v>565</v>
      </c>
      <c r="C133" s="631"/>
      <c r="D133" s="631"/>
      <c r="F133" s="574"/>
      <c r="G133" s="212"/>
      <c r="H133" s="213">
        <f>T1</f>
        <v>35.299999999999997</v>
      </c>
      <c r="I133" s="594" t="s">
        <v>90</v>
      </c>
      <c r="J133" s="645"/>
    </row>
    <row r="134" spans="1:10" ht="15" customHeight="1">
      <c r="A134" s="214"/>
      <c r="B134" s="594" t="s">
        <v>564</v>
      </c>
      <c r="C134" s="631"/>
      <c r="D134" s="631"/>
      <c r="E134" s="639">
        <f>J4</f>
        <v>900</v>
      </c>
      <c r="F134" s="640">
        <f>T6</f>
        <v>8</v>
      </c>
      <c r="G134" s="212"/>
      <c r="H134" s="213">
        <f>E134*F134</f>
        <v>7200</v>
      </c>
      <c r="I134" s="594" t="s">
        <v>90</v>
      </c>
      <c r="J134" s="645"/>
    </row>
    <row r="135" spans="1:10" ht="15" customHeight="1">
      <c r="A135" s="214"/>
      <c r="B135" s="594" t="s">
        <v>56</v>
      </c>
      <c r="C135" s="631"/>
      <c r="D135" s="631"/>
      <c r="E135" s="639"/>
      <c r="F135" s="640"/>
      <c r="G135" s="212"/>
      <c r="H135" s="215">
        <f>SUM(H133:H134)</f>
        <v>7235.3</v>
      </c>
      <c r="I135" s="592" t="s">
        <v>90</v>
      </c>
      <c r="J135" s="645"/>
    </row>
    <row r="136" spans="1:10" ht="15" customHeight="1">
      <c r="A136" s="214"/>
      <c r="B136" s="594"/>
      <c r="C136" s="631"/>
      <c r="D136" s="631"/>
      <c r="E136" s="639"/>
      <c r="F136" s="640"/>
      <c r="G136" s="212"/>
      <c r="H136" s="215"/>
      <c r="I136" s="592"/>
      <c r="J136" s="645"/>
    </row>
    <row r="137" spans="1:10" ht="15" customHeight="1">
      <c r="A137" s="211" t="s">
        <v>211</v>
      </c>
      <c r="B137" s="626" t="s">
        <v>133</v>
      </c>
      <c r="C137" s="212"/>
      <c r="D137" s="212"/>
      <c r="E137" s="212"/>
      <c r="F137" s="212"/>
      <c r="G137" s="212"/>
      <c r="H137" s="644"/>
      <c r="I137" s="212"/>
      <c r="J137" s="221"/>
    </row>
    <row r="138" spans="1:10" ht="15" customHeight="1">
      <c r="A138" s="214" t="s">
        <v>121</v>
      </c>
      <c r="B138" s="626" t="s">
        <v>506</v>
      </c>
      <c r="C138" s="212"/>
      <c r="D138" s="212"/>
      <c r="E138" s="680"/>
      <c r="F138" s="631" t="s">
        <v>566</v>
      </c>
      <c r="G138" s="593" t="s">
        <v>165</v>
      </c>
      <c r="H138" s="680"/>
      <c r="I138" s="623"/>
      <c r="J138" s="646"/>
    </row>
    <row r="139" spans="1:10" ht="15" customHeight="1">
      <c r="A139" s="214" t="s">
        <v>8</v>
      </c>
      <c r="B139" s="594" t="s">
        <v>565</v>
      </c>
      <c r="C139" s="631"/>
      <c r="D139" s="212"/>
      <c r="E139" s="680"/>
      <c r="F139" s="659">
        <f>T1</f>
        <v>35.299999999999997</v>
      </c>
      <c r="G139" s="640">
        <v>0.05</v>
      </c>
      <c r="H139" s="681">
        <f>F139*G139</f>
        <v>1.7649999999999999</v>
      </c>
      <c r="I139" s="594" t="s">
        <v>91</v>
      </c>
      <c r="J139" s="647" t="s">
        <v>8</v>
      </c>
    </row>
    <row r="140" spans="1:10" ht="15" customHeight="1">
      <c r="A140" s="214"/>
      <c r="B140" s="594"/>
      <c r="C140" s="631"/>
      <c r="D140" s="212"/>
      <c r="E140" s="631" t="s">
        <v>492</v>
      </c>
      <c r="F140" s="631" t="s">
        <v>499</v>
      </c>
      <c r="G140" s="593" t="s">
        <v>165</v>
      </c>
      <c r="H140" s="213"/>
      <c r="I140" s="594"/>
      <c r="J140" s="647"/>
    </row>
    <row r="141" spans="1:10" ht="15" customHeight="1">
      <c r="A141" s="214"/>
      <c r="B141" s="594" t="s">
        <v>564</v>
      </c>
      <c r="C141" s="631"/>
      <c r="D141" s="212"/>
      <c r="E141" s="639">
        <f>J4</f>
        <v>900</v>
      </c>
      <c r="F141" s="640">
        <f>T6</f>
        <v>8</v>
      </c>
      <c r="G141" s="640">
        <f>U6</f>
        <v>0.05</v>
      </c>
      <c r="H141" s="213">
        <f>E141*F141*G141</f>
        <v>360</v>
      </c>
      <c r="I141" s="594" t="s">
        <v>91</v>
      </c>
      <c r="J141" s="647"/>
    </row>
    <row r="142" spans="1:10" ht="15" customHeight="1">
      <c r="A142" s="214"/>
      <c r="B142" s="594" t="s">
        <v>56</v>
      </c>
      <c r="C142" s="631"/>
      <c r="D142" s="212"/>
      <c r="E142" s="639"/>
      <c r="F142" s="640"/>
      <c r="G142" s="640"/>
      <c r="H142" s="215">
        <f>SUM(H139:H141)</f>
        <v>361.76499999999999</v>
      </c>
      <c r="I142" s="592" t="s">
        <v>91</v>
      </c>
      <c r="J142" s="647"/>
    </row>
    <row r="143" spans="1:10" ht="15" customHeight="1">
      <c r="A143" s="214"/>
      <c r="B143" s="594"/>
      <c r="C143" s="631"/>
      <c r="D143" s="212"/>
      <c r="E143" s="639"/>
      <c r="F143" s="640"/>
      <c r="G143" s="640"/>
      <c r="H143" s="215"/>
      <c r="I143" s="592"/>
      <c r="J143" s="647"/>
    </row>
    <row r="144" spans="1:10" ht="15" customHeight="1">
      <c r="A144" s="211" t="s">
        <v>247</v>
      </c>
      <c r="B144" s="212" t="s">
        <v>507</v>
      </c>
      <c r="C144" s="212"/>
      <c r="D144" s="212"/>
      <c r="E144" s="212"/>
      <c r="F144" s="212"/>
      <c r="G144" s="212"/>
      <c r="H144" s="213"/>
      <c r="I144" s="212"/>
      <c r="J144" s="221"/>
    </row>
    <row r="145" spans="1:10 16367:16367" ht="15" customHeight="1">
      <c r="A145" s="214" t="s">
        <v>121</v>
      </c>
      <c r="B145" s="212" t="s">
        <v>509</v>
      </c>
      <c r="C145" s="212"/>
      <c r="D145" s="212"/>
      <c r="E145" s="212"/>
      <c r="F145" s="212"/>
      <c r="G145" s="212"/>
      <c r="H145" s="213"/>
      <c r="I145" s="212"/>
      <c r="J145" s="221"/>
    </row>
    <row r="146" spans="1:10 16367:16367" s="47" customFormat="1" ht="15" customHeight="1">
      <c r="A146" s="211"/>
      <c r="B146" s="212" t="s">
        <v>508</v>
      </c>
      <c r="C146" s="212"/>
      <c r="D146" s="212"/>
      <c r="E146" s="212"/>
      <c r="F146" s="212"/>
      <c r="G146" s="212"/>
      <c r="H146" s="215">
        <f>H142*1.3*N4</f>
        <v>21915.723699999999</v>
      </c>
      <c r="I146" s="216" t="s">
        <v>143</v>
      </c>
      <c r="J146" s="221"/>
    </row>
    <row r="147" spans="1:10 16367:16367" s="47" customFormat="1" ht="15" customHeight="1">
      <c r="A147" s="211"/>
      <c r="B147" s="212"/>
      <c r="C147" s="212"/>
      <c r="D147" s="212"/>
      <c r="E147" s="212"/>
      <c r="F147" s="212"/>
      <c r="G147" s="212"/>
      <c r="H147" s="215"/>
      <c r="I147" s="216"/>
      <c r="J147" s="221"/>
    </row>
    <row r="148" spans="1:10 16367:16367" ht="15" customHeight="1">
      <c r="A148" s="211" t="s">
        <v>381</v>
      </c>
      <c r="B148" s="212" t="s">
        <v>210</v>
      </c>
      <c r="C148" s="212"/>
      <c r="D148" s="212"/>
      <c r="E148" s="212"/>
      <c r="F148" s="212"/>
      <c r="G148" s="212"/>
      <c r="H148" s="213"/>
      <c r="I148" s="212"/>
      <c r="J148" s="221"/>
    </row>
    <row r="149" spans="1:10 16367:16367" ht="15" customHeight="1">
      <c r="A149" s="214" t="s">
        <v>121</v>
      </c>
      <c r="B149" s="212" t="s">
        <v>585</v>
      </c>
      <c r="C149" s="212"/>
      <c r="D149" s="212"/>
      <c r="E149" s="212"/>
      <c r="F149" s="212"/>
      <c r="G149" s="212"/>
      <c r="H149" s="213"/>
      <c r="I149" s="212"/>
      <c r="J149" s="221"/>
    </row>
    <row r="150" spans="1:10 16367:16367" ht="15" customHeight="1">
      <c r="A150" s="648"/>
      <c r="B150" s="212" t="s">
        <v>400</v>
      </c>
      <c r="C150" s="212"/>
      <c r="D150" s="212"/>
      <c r="E150" s="212"/>
      <c r="F150" s="212"/>
      <c r="G150" s="212"/>
      <c r="H150" s="215">
        <f>H142*2.4</f>
        <v>868.23599999999999</v>
      </c>
      <c r="I150" s="592" t="s">
        <v>69</v>
      </c>
      <c r="J150" s="221"/>
    </row>
    <row r="151" spans="1:10 16367:16367" s="47" customFormat="1" ht="15" customHeight="1">
      <c r="A151" s="211"/>
      <c r="B151" s="212"/>
      <c r="C151" s="594"/>
      <c r="D151" s="594"/>
      <c r="E151" s="594"/>
      <c r="F151" s="594"/>
      <c r="G151" s="594"/>
      <c r="H151" s="215"/>
      <c r="I151" s="592"/>
      <c r="J151" s="221"/>
    </row>
    <row r="152" spans="1:10 16367:16367" s="47" customFormat="1" ht="15" customHeight="1">
      <c r="A152" s="599" t="s">
        <v>78</v>
      </c>
      <c r="B152" s="619" t="s">
        <v>38</v>
      </c>
      <c r="C152" s="543"/>
      <c r="D152" s="543"/>
      <c r="E152" s="543"/>
      <c r="F152" s="543"/>
      <c r="G152" s="543"/>
      <c r="H152" s="544"/>
      <c r="I152" s="545"/>
      <c r="J152" s="546"/>
    </row>
    <row r="153" spans="1:10 16367:16367" ht="15" customHeight="1">
      <c r="A153" s="211" t="s">
        <v>251</v>
      </c>
      <c r="B153" s="594" t="s">
        <v>250</v>
      </c>
      <c r="C153" s="593"/>
      <c r="D153" s="593"/>
      <c r="E153" s="593"/>
      <c r="F153" s="593"/>
      <c r="G153" s="593"/>
      <c r="H153" s="213"/>
      <c r="I153" s="594"/>
      <c r="J153" s="221"/>
    </row>
    <row r="154" spans="1:10 16367:16367" ht="15" customHeight="1">
      <c r="A154" s="214" t="s">
        <v>121</v>
      </c>
      <c r="B154" s="594" t="s">
        <v>134</v>
      </c>
      <c r="C154" s="593"/>
      <c r="D154" s="593"/>
      <c r="E154" s="593"/>
      <c r="F154" s="593"/>
      <c r="G154" s="593"/>
      <c r="H154" s="651"/>
      <c r="I154" s="213"/>
      <c r="J154" s="652"/>
    </row>
    <row r="155" spans="1:10 16367:16367" ht="15" customHeight="1">
      <c r="A155" s="214"/>
      <c r="B155" s="594"/>
      <c r="C155" s="623"/>
      <c r="D155" s="640" t="s">
        <v>207</v>
      </c>
      <c r="E155" s="632" t="s">
        <v>173</v>
      </c>
      <c r="F155" s="640" t="s">
        <v>174</v>
      </c>
      <c r="G155" s="640" t="s">
        <v>200</v>
      </c>
      <c r="H155" s="651"/>
      <c r="I155" s="213"/>
      <c r="J155" s="652"/>
    </row>
    <row r="156" spans="1:10 16367:16367" ht="15" customHeight="1">
      <c r="A156" s="591"/>
      <c r="B156" s="594" t="s">
        <v>199</v>
      </c>
      <c r="C156" s="623"/>
      <c r="D156" s="640">
        <v>60</v>
      </c>
      <c r="E156" s="632">
        <v>0.6</v>
      </c>
      <c r="F156" s="640">
        <v>1.31</v>
      </c>
      <c r="G156" s="640">
        <v>1.3</v>
      </c>
      <c r="H156" s="213">
        <f>D156*(F156+E156)*G156</f>
        <v>148.98000000000002</v>
      </c>
      <c r="I156" s="594" t="s">
        <v>91</v>
      </c>
      <c r="J156" s="650"/>
    </row>
    <row r="157" spans="1:10 16367:16367" ht="15" customHeight="1">
      <c r="A157" s="591"/>
      <c r="B157" s="594" t="s">
        <v>402</v>
      </c>
      <c r="C157" s="623"/>
      <c r="D157" s="640">
        <v>13</v>
      </c>
      <c r="E157" s="632">
        <v>0.8</v>
      </c>
      <c r="F157" s="640">
        <v>1.55</v>
      </c>
      <c r="G157" s="640">
        <v>1.4</v>
      </c>
      <c r="H157" s="213">
        <f>D157*(F157+E157)*G157</f>
        <v>42.769999999999996</v>
      </c>
      <c r="I157" s="594" t="s">
        <v>91</v>
      </c>
      <c r="J157" s="650"/>
    </row>
    <row r="158" spans="1:10 16367:16367" ht="15" customHeight="1">
      <c r="A158" s="591"/>
      <c r="B158" s="592" t="s">
        <v>227</v>
      </c>
      <c r="C158" s="638"/>
      <c r="D158" s="638"/>
      <c r="E158" s="638"/>
      <c r="F158" s="638"/>
      <c r="G158" s="638"/>
      <c r="H158" s="215">
        <f>SUM(H156:H157)</f>
        <v>191.75</v>
      </c>
      <c r="I158" s="592" t="s">
        <v>91</v>
      </c>
      <c r="J158" s="650"/>
      <c r="XEM158" s="48">
        <f>SUM(A158:XEL158)</f>
        <v>191.75</v>
      </c>
    </row>
    <row r="159" spans="1:10 16367:16367" ht="15" customHeight="1">
      <c r="A159" s="591"/>
      <c r="B159" s="592"/>
      <c r="C159" s="593"/>
      <c r="D159" s="593"/>
      <c r="E159" s="593"/>
      <c r="F159" s="593"/>
      <c r="G159" s="593"/>
      <c r="H159" s="215"/>
      <c r="I159" s="592"/>
      <c r="J159" s="650"/>
    </row>
    <row r="160" spans="1:10 16367:16367" ht="15" customHeight="1">
      <c r="A160" s="214" t="s">
        <v>8</v>
      </c>
      <c r="B160" s="592" t="s">
        <v>510</v>
      </c>
      <c r="C160" s="593"/>
      <c r="D160" s="593"/>
      <c r="E160" s="593"/>
      <c r="F160" s="593"/>
      <c r="G160" s="593"/>
      <c r="H160" s="215">
        <f>H158*0.9</f>
        <v>172.57500000000002</v>
      </c>
      <c r="I160" s="592" t="s">
        <v>91</v>
      </c>
      <c r="J160" s="650"/>
    </row>
    <row r="161" spans="1:22" ht="15" customHeight="1">
      <c r="A161" s="214" t="s">
        <v>8</v>
      </c>
      <c r="B161" s="592" t="s">
        <v>511</v>
      </c>
      <c r="C161" s="593"/>
      <c r="D161" s="593"/>
      <c r="E161" s="593"/>
      <c r="F161" s="593"/>
      <c r="G161" s="593"/>
      <c r="H161" s="215">
        <f>H158-H160</f>
        <v>19.174999999999983</v>
      </c>
      <c r="I161" s="592" t="s">
        <v>91</v>
      </c>
      <c r="J161" s="650"/>
    </row>
    <row r="162" spans="1:22" ht="15" customHeight="1">
      <c r="A162" s="591"/>
      <c r="B162" s="592"/>
      <c r="C162" s="593"/>
      <c r="D162" s="593"/>
      <c r="E162" s="593"/>
      <c r="F162" s="593"/>
      <c r="G162" s="593"/>
      <c r="H162" s="215"/>
      <c r="I162" s="592"/>
      <c r="J162" s="650"/>
    </row>
    <row r="163" spans="1:22" s="47" customFormat="1" ht="15" customHeight="1">
      <c r="A163" s="170" t="s">
        <v>34</v>
      </c>
      <c r="B163" s="653" t="s">
        <v>253</v>
      </c>
      <c r="C163" s="212"/>
      <c r="D163" s="631"/>
      <c r="E163" s="631"/>
      <c r="F163" s="631"/>
      <c r="G163" s="212"/>
      <c r="H163" s="213"/>
      <c r="I163" s="212"/>
      <c r="J163" s="221"/>
      <c r="K163" s="154"/>
      <c r="L163" s="155"/>
      <c r="O163"/>
      <c r="P163"/>
      <c r="Q163"/>
      <c r="R163"/>
      <c r="S163"/>
      <c r="T163"/>
      <c r="U163"/>
      <c r="V163"/>
    </row>
    <row r="164" spans="1:22" customFormat="1" ht="15" customHeight="1">
      <c r="A164" s="214" t="s">
        <v>121</v>
      </c>
      <c r="B164" s="212" t="s">
        <v>256</v>
      </c>
      <c r="C164" s="212"/>
      <c r="D164" s="631" t="s">
        <v>207</v>
      </c>
      <c r="E164" s="631" t="s">
        <v>168</v>
      </c>
      <c r="F164" s="631" t="s">
        <v>254</v>
      </c>
      <c r="G164" s="212"/>
      <c r="H164" s="213"/>
      <c r="I164" s="212"/>
      <c r="J164" s="221"/>
      <c r="K164" s="48"/>
      <c r="L164" s="47"/>
      <c r="M164" s="47"/>
      <c r="N164" s="47"/>
      <c r="T164" s="168"/>
      <c r="U164" s="169"/>
      <c r="V164" s="48"/>
    </row>
    <row r="165" spans="1:22" ht="15" customHeight="1">
      <c r="A165" s="654"/>
      <c r="B165" s="626" t="s">
        <v>199</v>
      </c>
      <c r="C165" s="640"/>
      <c r="D165" s="632">
        <f>D156</f>
        <v>60</v>
      </c>
      <c r="E165" s="640">
        <v>0.9</v>
      </c>
      <c r="F165" s="640">
        <v>0.1</v>
      </c>
      <c r="G165" s="655"/>
      <c r="H165" s="213">
        <f t="shared" ref="H165" si="2">D165*E165*F165</f>
        <v>5.4</v>
      </c>
      <c r="I165" s="626" t="s">
        <v>91</v>
      </c>
      <c r="J165" s="650"/>
    </row>
    <row r="166" spans="1:22" ht="15" customHeight="1">
      <c r="A166" s="654"/>
      <c r="B166" s="626" t="s">
        <v>402</v>
      </c>
      <c r="C166" s="640"/>
      <c r="D166" s="632">
        <f>D157</f>
        <v>13</v>
      </c>
      <c r="E166" s="640">
        <v>1.1499999999999999</v>
      </c>
      <c r="F166" s="640">
        <v>0.1</v>
      </c>
      <c r="G166" s="655"/>
      <c r="H166" s="213">
        <f t="shared" ref="H166" si="3">D166*E166*F166</f>
        <v>1.4950000000000001</v>
      </c>
      <c r="I166" s="626" t="s">
        <v>91</v>
      </c>
      <c r="J166" s="650"/>
    </row>
    <row r="167" spans="1:22" s="47" customFormat="1" ht="15" customHeight="1">
      <c r="A167" s="211"/>
      <c r="B167" s="212"/>
      <c r="C167" s="212"/>
      <c r="D167" s="212"/>
      <c r="E167" s="212"/>
      <c r="F167" s="212"/>
      <c r="G167" s="212"/>
      <c r="H167" s="215">
        <f>SUM(H165:H166)</f>
        <v>6.8950000000000005</v>
      </c>
      <c r="I167" s="216" t="s">
        <v>91</v>
      </c>
      <c r="J167" s="221"/>
    </row>
    <row r="168" spans="1:22" s="47" customFormat="1" ht="15" customHeight="1">
      <c r="A168" s="211" t="s">
        <v>33</v>
      </c>
      <c r="B168" s="212" t="s">
        <v>479</v>
      </c>
      <c r="C168" s="212"/>
      <c r="D168" s="212"/>
      <c r="E168" s="212"/>
      <c r="F168" s="212"/>
      <c r="G168" s="212"/>
      <c r="H168" s="213"/>
      <c r="I168" s="212"/>
      <c r="J168" s="221"/>
      <c r="K168" s="154"/>
      <c r="O168"/>
      <c r="P168"/>
      <c r="Q168"/>
      <c r="R168"/>
      <c r="S168"/>
      <c r="T168"/>
      <c r="U168"/>
      <c r="V168"/>
    </row>
    <row r="169" spans="1:22" s="47" customFormat="1" ht="15" customHeight="1">
      <c r="A169" s="214" t="s">
        <v>121</v>
      </c>
      <c r="B169" s="212" t="s">
        <v>512</v>
      </c>
      <c r="C169" s="212"/>
      <c r="D169" s="212"/>
      <c r="E169" s="212"/>
      <c r="F169" s="212"/>
      <c r="G169" s="212"/>
      <c r="H169" s="213"/>
      <c r="I169" s="212"/>
      <c r="J169" s="221"/>
      <c r="K169" s="154"/>
      <c r="L169" s="155"/>
      <c r="O169"/>
      <c r="P169"/>
      <c r="Q169"/>
      <c r="R169"/>
      <c r="S169"/>
      <c r="T169"/>
      <c r="U169"/>
      <c r="V169"/>
    </row>
    <row r="170" spans="1:22" s="47" customFormat="1" ht="15" customHeight="1">
      <c r="A170" s="211"/>
      <c r="B170" s="212" t="s">
        <v>570</v>
      </c>
      <c r="C170" s="212"/>
      <c r="D170" s="212"/>
      <c r="E170" s="212"/>
      <c r="F170" s="212"/>
      <c r="G170" s="212"/>
      <c r="H170" s="215">
        <f>H167*1.46*N4</f>
        <v>469.10822000000007</v>
      </c>
      <c r="I170" s="216" t="s">
        <v>143</v>
      </c>
      <c r="J170" s="221"/>
      <c r="K170" s="154"/>
      <c r="L170" s="155"/>
      <c r="O170"/>
      <c r="P170"/>
      <c r="Q170"/>
      <c r="R170"/>
      <c r="S170"/>
      <c r="T170"/>
      <c r="U170"/>
      <c r="V170"/>
    </row>
    <row r="171" spans="1:22" s="47" customFormat="1" ht="15" customHeight="1">
      <c r="A171" s="211"/>
      <c r="B171" s="212"/>
      <c r="C171" s="212"/>
      <c r="D171" s="212"/>
      <c r="E171" s="212"/>
      <c r="F171" s="212"/>
      <c r="G171" s="212"/>
      <c r="H171" s="215"/>
      <c r="I171" s="216"/>
      <c r="J171" s="221"/>
      <c r="K171" s="154"/>
      <c r="L171" s="155"/>
      <c r="O171"/>
      <c r="P171"/>
      <c r="Q171"/>
      <c r="R171"/>
      <c r="S171"/>
      <c r="T171"/>
      <c r="U171"/>
      <c r="V171"/>
    </row>
    <row r="172" spans="1:22" ht="15" customHeight="1">
      <c r="A172" s="211" t="s">
        <v>513</v>
      </c>
      <c r="B172" s="594" t="s">
        <v>135</v>
      </c>
      <c r="C172" s="593"/>
      <c r="D172" s="593"/>
      <c r="E172" s="593"/>
      <c r="F172" s="593" t="s">
        <v>8</v>
      </c>
      <c r="G172" s="593"/>
      <c r="H172" s="213"/>
      <c r="I172" s="594"/>
      <c r="J172" s="221"/>
    </row>
    <row r="173" spans="1:22" ht="15" customHeight="1">
      <c r="A173" s="214" t="s">
        <v>121</v>
      </c>
      <c r="B173" s="594" t="s">
        <v>212</v>
      </c>
      <c r="C173" s="593"/>
      <c r="D173" s="640" t="s">
        <v>207</v>
      </c>
      <c r="E173" s="656" t="s">
        <v>169</v>
      </c>
      <c r="F173" s="655"/>
      <c r="G173" s="593"/>
      <c r="H173" s="215" t="s">
        <v>56</v>
      </c>
      <c r="I173" s="594"/>
      <c r="J173" s="221"/>
    </row>
    <row r="174" spans="1:22" ht="15" customHeight="1">
      <c r="A174" s="591"/>
      <c r="B174" s="594" t="s">
        <v>199</v>
      </c>
      <c r="C174" s="657"/>
      <c r="D174" s="640">
        <f>D156</f>
        <v>60</v>
      </c>
      <c r="E174" s="656">
        <f t="shared" ref="E174" si="4">C174+D174</f>
        <v>60</v>
      </c>
      <c r="F174" s="655"/>
      <c r="G174" s="593"/>
      <c r="H174" s="215">
        <f>D174</f>
        <v>60</v>
      </c>
      <c r="I174" s="592" t="s">
        <v>16</v>
      </c>
      <c r="J174" s="221"/>
    </row>
    <row r="175" spans="1:22" ht="15" customHeight="1">
      <c r="A175" s="591"/>
      <c r="B175" s="594" t="s">
        <v>402</v>
      </c>
      <c r="C175" s="657"/>
      <c r="D175" s="640">
        <f>D157</f>
        <v>13</v>
      </c>
      <c r="E175" s="656">
        <f t="shared" ref="E175" si="5">C175+D175</f>
        <v>13</v>
      </c>
      <c r="F175" s="655"/>
      <c r="G175" s="593"/>
      <c r="H175" s="215">
        <f>D175</f>
        <v>13</v>
      </c>
      <c r="I175" s="592" t="s">
        <v>16</v>
      </c>
      <c r="J175" s="221"/>
    </row>
    <row r="176" spans="1:22" s="47" customFormat="1" ht="15" customHeight="1">
      <c r="A176" s="214"/>
      <c r="B176" s="594"/>
      <c r="C176" s="657"/>
      <c r="D176" s="631"/>
      <c r="E176" s="656"/>
      <c r="F176" s="631"/>
      <c r="G176" s="212"/>
      <c r="H176" s="215"/>
      <c r="I176" s="592"/>
      <c r="J176" s="221"/>
    </row>
    <row r="177" spans="1:10" s="47" customFormat="1" ht="15" customHeight="1">
      <c r="A177" s="211" t="s">
        <v>513</v>
      </c>
      <c r="B177" s="594" t="s">
        <v>137</v>
      </c>
      <c r="C177" s="657"/>
      <c r="D177" s="212"/>
      <c r="E177" s="212"/>
      <c r="F177" s="212"/>
      <c r="G177" s="212"/>
      <c r="H177" s="215"/>
      <c r="I177" s="592"/>
      <c r="J177" s="221"/>
    </row>
    <row r="178" spans="1:10" s="47" customFormat="1" ht="15" customHeight="1">
      <c r="A178" s="214" t="s">
        <v>121</v>
      </c>
      <c r="B178" s="594" t="s">
        <v>136</v>
      </c>
      <c r="C178" s="657"/>
      <c r="D178" s="640" t="s">
        <v>207</v>
      </c>
      <c r="E178" s="656" t="s">
        <v>169</v>
      </c>
      <c r="F178" s="593"/>
      <c r="G178" s="593"/>
      <c r="H178" s="215" t="s">
        <v>56</v>
      </c>
      <c r="I178" s="594"/>
      <c r="J178" s="221"/>
    </row>
    <row r="179" spans="1:10" ht="15" customHeight="1">
      <c r="A179" s="214"/>
      <c r="B179" s="594" t="s">
        <v>199</v>
      </c>
      <c r="C179" s="657"/>
      <c r="D179" s="640">
        <f>D156</f>
        <v>60</v>
      </c>
      <c r="E179" s="658">
        <f t="shared" ref="E179" si="6">C179</f>
        <v>0</v>
      </c>
      <c r="F179" s="212"/>
      <c r="G179" s="212"/>
      <c r="H179" s="215">
        <f>D179</f>
        <v>60</v>
      </c>
      <c r="I179" s="592" t="s">
        <v>16</v>
      </c>
      <c r="J179" s="221"/>
    </row>
    <row r="180" spans="1:10" ht="15" customHeight="1">
      <c r="A180" s="214"/>
      <c r="B180" s="594" t="s">
        <v>402</v>
      </c>
      <c r="C180" s="657"/>
      <c r="D180" s="640">
        <f>D157</f>
        <v>13</v>
      </c>
      <c r="E180" s="658">
        <f t="shared" ref="E180" si="7">C180</f>
        <v>0</v>
      </c>
      <c r="F180" s="212"/>
      <c r="G180" s="212"/>
      <c r="H180" s="215">
        <f>D180</f>
        <v>13</v>
      </c>
      <c r="I180" s="592" t="s">
        <v>16</v>
      </c>
      <c r="J180" s="221"/>
    </row>
    <row r="181" spans="1:10" s="47" customFormat="1" ht="15" customHeight="1">
      <c r="A181" s="214"/>
      <c r="B181" s="594"/>
      <c r="C181" s="217"/>
      <c r="D181" s="212"/>
      <c r="E181" s="212"/>
      <c r="F181" s="212"/>
      <c r="G181" s="212"/>
      <c r="H181" s="213"/>
      <c r="I181" s="594"/>
      <c r="J181" s="221"/>
    </row>
    <row r="182" spans="1:10" s="47" customFormat="1" ht="15" customHeight="1">
      <c r="A182" s="170" t="s">
        <v>28</v>
      </c>
      <c r="B182" s="334" t="s">
        <v>221</v>
      </c>
      <c r="C182" s="212"/>
      <c r="D182" s="212"/>
      <c r="E182" s="212"/>
      <c r="F182" s="212"/>
      <c r="G182" s="212"/>
      <c r="H182" s="213"/>
      <c r="I182" s="594"/>
      <c r="J182" s="221"/>
    </row>
    <row r="183" spans="1:10" s="47" customFormat="1" ht="15" customHeight="1">
      <c r="A183" s="214" t="s">
        <v>121</v>
      </c>
      <c r="B183" s="594" t="s">
        <v>136</v>
      </c>
      <c r="C183" s="594"/>
      <c r="D183" s="631" t="s">
        <v>175</v>
      </c>
      <c r="E183" s="640" t="s">
        <v>167</v>
      </c>
      <c r="F183" s="632" t="s">
        <v>190</v>
      </c>
      <c r="G183" s="640" t="s">
        <v>191</v>
      </c>
      <c r="H183" s="215" t="s">
        <v>56</v>
      </c>
      <c r="I183" s="213"/>
      <c r="J183" s="652"/>
    </row>
    <row r="184" spans="1:10" ht="15" customHeight="1">
      <c r="A184" s="214"/>
      <c r="B184" s="594" t="s">
        <v>199</v>
      </c>
      <c r="C184" s="623"/>
      <c r="D184" s="659">
        <f>H156</f>
        <v>148.98000000000002</v>
      </c>
      <c r="E184" s="640">
        <f>D156</f>
        <v>60</v>
      </c>
      <c r="F184" s="632">
        <f>3.1416*0.3^2</f>
        <v>0.282744</v>
      </c>
      <c r="G184" s="640">
        <f t="shared" ref="G184" si="8">E184*F184</f>
        <v>16.964639999999999</v>
      </c>
      <c r="H184" s="213">
        <f>D184-G184</f>
        <v>132.01536000000002</v>
      </c>
      <c r="I184" s="594" t="s">
        <v>91</v>
      </c>
      <c r="J184" s="650"/>
    </row>
    <row r="185" spans="1:10" ht="15" customHeight="1">
      <c r="A185" s="214"/>
      <c r="B185" s="594" t="s">
        <v>402</v>
      </c>
      <c r="C185" s="623"/>
      <c r="D185" s="659">
        <f>H157</f>
        <v>42.769999999999996</v>
      </c>
      <c r="E185" s="640">
        <f>D157</f>
        <v>13</v>
      </c>
      <c r="F185" s="632">
        <f>3.1416*0.4^2</f>
        <v>0.5026560000000001</v>
      </c>
      <c r="G185" s="640">
        <f t="shared" ref="G185" si="9">E185*F185</f>
        <v>6.5345280000000017</v>
      </c>
      <c r="H185" s="213">
        <f>D185-G185</f>
        <v>36.235471999999994</v>
      </c>
      <c r="I185" s="594" t="s">
        <v>91</v>
      </c>
      <c r="J185" s="650"/>
    </row>
    <row r="186" spans="1:10" s="47" customFormat="1" ht="15" customHeight="1">
      <c r="A186" s="214"/>
      <c r="B186" s="592" t="s">
        <v>56</v>
      </c>
      <c r="C186" s="593"/>
      <c r="D186" s="593"/>
      <c r="E186" s="593"/>
      <c r="F186" s="593"/>
      <c r="G186" s="593"/>
      <c r="H186" s="215">
        <f>SUM(H184:H185)</f>
        <v>168.250832</v>
      </c>
      <c r="I186" s="592" t="s">
        <v>91</v>
      </c>
      <c r="J186" s="652"/>
    </row>
    <row r="187" spans="1:10" ht="15" customHeight="1">
      <c r="A187" s="214"/>
      <c r="B187" s="212"/>
      <c r="C187" s="212"/>
      <c r="D187" s="212"/>
      <c r="E187" s="212"/>
      <c r="F187" s="212"/>
      <c r="G187" s="212"/>
      <c r="H187" s="213"/>
      <c r="I187" s="212"/>
      <c r="J187" s="221"/>
    </row>
    <row r="188" spans="1:10" s="47" customFormat="1" ht="15" customHeight="1">
      <c r="A188" s="211" t="s">
        <v>26</v>
      </c>
      <c r="B188" s="212" t="s">
        <v>472</v>
      </c>
      <c r="C188" s="212"/>
      <c r="D188" s="212"/>
      <c r="E188" s="212"/>
      <c r="F188" s="212"/>
      <c r="G188" s="212"/>
      <c r="H188" s="213"/>
      <c r="I188" s="212"/>
      <c r="J188" s="221"/>
    </row>
    <row r="189" spans="1:10" s="47" customFormat="1" ht="15" customHeight="1">
      <c r="A189" s="214" t="s">
        <v>121</v>
      </c>
      <c r="B189" s="212" t="s">
        <v>220</v>
      </c>
      <c r="C189" s="212"/>
      <c r="D189" s="212"/>
      <c r="E189" s="212"/>
      <c r="F189" s="212"/>
      <c r="G189" s="212"/>
      <c r="H189" s="213"/>
      <c r="I189" s="212"/>
      <c r="J189" s="221"/>
    </row>
    <row r="190" spans="1:10" s="47" customFormat="1" ht="15" customHeight="1">
      <c r="A190" s="211"/>
      <c r="B190" s="212" t="s">
        <v>474</v>
      </c>
      <c r="C190" s="212"/>
      <c r="D190" s="212"/>
      <c r="E190" s="212"/>
      <c r="F190" s="212"/>
      <c r="G190" s="212"/>
      <c r="H190" s="215">
        <f>(H158-H186)*1.25*N3</f>
        <v>384.79887599999995</v>
      </c>
      <c r="I190" s="216" t="s">
        <v>143</v>
      </c>
      <c r="J190" s="221"/>
    </row>
    <row r="191" spans="1:10" s="47" customFormat="1" ht="15" customHeight="1">
      <c r="A191" s="211"/>
      <c r="B191" s="212"/>
      <c r="C191" s="212"/>
      <c r="D191" s="212"/>
      <c r="E191" s="212"/>
      <c r="F191" s="212"/>
      <c r="G191" s="212"/>
      <c r="H191" s="215"/>
      <c r="I191" s="216"/>
      <c r="J191" s="221"/>
    </row>
    <row r="192" spans="1:10" ht="15" customHeight="1">
      <c r="A192" s="170" t="s">
        <v>25</v>
      </c>
      <c r="B192" s="212" t="s">
        <v>516</v>
      </c>
      <c r="C192" s="212"/>
      <c r="D192" s="212"/>
      <c r="E192" s="212"/>
      <c r="F192" s="212"/>
      <c r="G192" s="212"/>
      <c r="H192" s="649"/>
      <c r="I192" s="649"/>
      <c r="J192" s="221"/>
    </row>
    <row r="193" spans="1:10" s="47" customFormat="1" ht="15" customHeight="1">
      <c r="A193" s="214" t="s">
        <v>121</v>
      </c>
      <c r="B193" s="212" t="s">
        <v>517</v>
      </c>
      <c r="C193" s="212"/>
      <c r="D193" s="212"/>
      <c r="E193" s="212"/>
      <c r="F193" s="212"/>
      <c r="G193" s="212"/>
      <c r="H193" s="215">
        <v>918</v>
      </c>
      <c r="I193" s="216" t="s">
        <v>16</v>
      </c>
      <c r="J193" s="221"/>
    </row>
    <row r="194" spans="1:10" ht="15" customHeight="1">
      <c r="A194" s="214" t="s">
        <v>8</v>
      </c>
      <c r="B194" s="212" t="s">
        <v>8</v>
      </c>
      <c r="C194" s="212"/>
      <c r="D194" s="212"/>
      <c r="E194" s="212"/>
      <c r="F194" s="212"/>
      <c r="G194" s="212"/>
      <c r="H194" s="623"/>
      <c r="I194" s="623"/>
      <c r="J194" s="221"/>
    </row>
    <row r="195" spans="1:10" ht="15" customHeight="1">
      <c r="A195" s="170" t="s">
        <v>24</v>
      </c>
      <c r="B195" s="212" t="s">
        <v>518</v>
      </c>
      <c r="C195" s="212"/>
      <c r="D195" s="212"/>
      <c r="E195" s="212"/>
      <c r="F195" s="212"/>
      <c r="G195" s="212"/>
      <c r="H195" s="649"/>
      <c r="I195" s="649"/>
      <c r="J195" s="221"/>
    </row>
    <row r="196" spans="1:10" s="47" customFormat="1" ht="15" customHeight="1">
      <c r="A196" s="214" t="s">
        <v>121</v>
      </c>
      <c r="B196" s="212" t="s">
        <v>517</v>
      </c>
      <c r="C196" s="212"/>
      <c r="D196" s="212"/>
      <c r="E196" s="212"/>
      <c r="F196" s="212"/>
      <c r="G196" s="212"/>
      <c r="H196" s="215">
        <v>734</v>
      </c>
      <c r="I196" s="216" t="s">
        <v>16</v>
      </c>
      <c r="J196" s="221"/>
    </row>
    <row r="197" spans="1:10" ht="15" customHeight="1">
      <c r="A197" s="214" t="s">
        <v>8</v>
      </c>
      <c r="B197" s="212" t="s">
        <v>8</v>
      </c>
      <c r="C197" s="212"/>
      <c r="D197" s="212"/>
      <c r="E197" s="212"/>
      <c r="F197" s="212"/>
      <c r="G197" s="212"/>
      <c r="H197" s="623"/>
      <c r="I197" s="623"/>
      <c r="J197" s="221"/>
    </row>
    <row r="198" spans="1:10" s="47" customFormat="1" ht="15" customHeight="1">
      <c r="A198" s="170" t="s">
        <v>22</v>
      </c>
      <c r="B198" s="220" t="s">
        <v>519</v>
      </c>
      <c r="C198" s="212"/>
      <c r="D198" s="212"/>
      <c r="E198" s="212"/>
      <c r="F198" s="212"/>
      <c r="G198" s="212"/>
      <c r="H198" s="213"/>
      <c r="I198" s="212"/>
      <c r="J198" s="221"/>
    </row>
    <row r="199" spans="1:10" s="47" customFormat="1" ht="15" customHeight="1">
      <c r="A199" s="214" t="s">
        <v>121</v>
      </c>
      <c r="B199" s="212" t="s">
        <v>520</v>
      </c>
      <c r="C199" s="212"/>
      <c r="D199" s="212"/>
      <c r="E199" s="212"/>
      <c r="F199" s="212"/>
      <c r="G199" s="212"/>
      <c r="H199" s="215">
        <v>136</v>
      </c>
      <c r="I199" s="216" t="s">
        <v>16</v>
      </c>
      <c r="J199" s="221"/>
    </row>
    <row r="200" spans="1:10" s="47" customFormat="1" ht="15" customHeight="1">
      <c r="A200" s="211"/>
      <c r="B200" s="212" t="s">
        <v>8</v>
      </c>
      <c r="C200" s="212"/>
      <c r="D200" s="212"/>
      <c r="E200" s="212"/>
      <c r="F200" s="212"/>
      <c r="G200" s="212"/>
      <c r="H200" s="594"/>
      <c r="I200" s="594"/>
      <c r="J200" s="221"/>
    </row>
    <row r="201" spans="1:10" s="47" customFormat="1" ht="15" customHeight="1">
      <c r="A201" s="170" t="s">
        <v>21</v>
      </c>
      <c r="B201" s="220" t="s">
        <v>514</v>
      </c>
      <c r="C201" s="212"/>
      <c r="D201" s="212"/>
      <c r="E201" s="212"/>
      <c r="F201" s="212"/>
      <c r="G201" s="212"/>
      <c r="H201" s="213"/>
      <c r="I201" s="212"/>
      <c r="J201" s="221"/>
    </row>
    <row r="202" spans="1:10" s="47" customFormat="1" ht="15" customHeight="1">
      <c r="A202" s="214" t="s">
        <v>121</v>
      </c>
      <c r="B202" s="212" t="s">
        <v>515</v>
      </c>
      <c r="C202" s="212"/>
      <c r="D202" s="212"/>
      <c r="E202" s="212"/>
      <c r="F202" s="212"/>
      <c r="G202" s="212"/>
      <c r="H202" s="215">
        <v>12</v>
      </c>
      <c r="I202" s="216" t="s">
        <v>138</v>
      </c>
      <c r="J202" s="221"/>
    </row>
    <row r="203" spans="1:10" s="47" customFormat="1" ht="15" customHeight="1">
      <c r="A203" s="211"/>
      <c r="B203" s="212" t="s">
        <v>8</v>
      </c>
      <c r="C203" s="212"/>
      <c r="D203" s="212"/>
      <c r="E203" s="212"/>
      <c r="F203" s="212"/>
      <c r="G203" s="212"/>
      <c r="H203" s="594"/>
      <c r="I203" s="594"/>
      <c r="J203" s="221"/>
    </row>
    <row r="204" spans="1:10" ht="15" customHeight="1">
      <c r="A204" s="170" t="s">
        <v>20</v>
      </c>
      <c r="B204" s="212" t="s">
        <v>222</v>
      </c>
      <c r="C204" s="212"/>
      <c r="D204" s="212"/>
      <c r="E204" s="212"/>
      <c r="F204" s="212"/>
      <c r="G204" s="212"/>
      <c r="H204" s="623"/>
      <c r="I204" s="623"/>
      <c r="J204" s="221"/>
    </row>
    <row r="205" spans="1:10" ht="15" customHeight="1">
      <c r="A205" s="214" t="s">
        <v>121</v>
      </c>
      <c r="B205" s="212" t="s">
        <v>521</v>
      </c>
      <c r="C205" s="212"/>
      <c r="D205" s="212"/>
      <c r="E205" s="212"/>
      <c r="F205" s="212"/>
      <c r="G205" s="212"/>
      <c r="H205" s="649">
        <v>5</v>
      </c>
      <c r="I205" s="649" t="s">
        <v>138</v>
      </c>
      <c r="J205" s="221"/>
    </row>
    <row r="206" spans="1:10" ht="15" customHeight="1">
      <c r="A206" s="211"/>
      <c r="B206" s="212"/>
      <c r="C206" s="212"/>
      <c r="D206" s="212"/>
      <c r="E206" s="212"/>
      <c r="F206" s="212"/>
      <c r="G206" s="212"/>
      <c r="H206" s="215"/>
      <c r="I206" s="216"/>
      <c r="J206" s="221"/>
    </row>
    <row r="207" spans="1:10" ht="15" customHeight="1">
      <c r="A207" s="170" t="s">
        <v>19</v>
      </c>
      <c r="B207" s="212" t="s">
        <v>401</v>
      </c>
      <c r="C207" s="212"/>
      <c r="D207" s="212"/>
      <c r="E207" s="212"/>
      <c r="F207" s="212"/>
      <c r="G207" s="212"/>
      <c r="H207" s="623"/>
      <c r="I207" s="623"/>
      <c r="J207" s="221"/>
    </row>
    <row r="208" spans="1:10" ht="15" customHeight="1">
      <c r="A208" s="214" t="s">
        <v>121</v>
      </c>
      <c r="B208" s="212" t="s">
        <v>521</v>
      </c>
      <c r="C208" s="212"/>
      <c r="D208" s="212"/>
      <c r="E208" s="212"/>
      <c r="F208" s="212"/>
      <c r="G208" s="212"/>
      <c r="H208" s="649">
        <v>2</v>
      </c>
      <c r="I208" s="649" t="s">
        <v>138</v>
      </c>
      <c r="J208" s="221"/>
    </row>
    <row r="209" spans="1:10" ht="15" customHeight="1">
      <c r="A209" s="211"/>
      <c r="B209" s="212"/>
      <c r="C209" s="212"/>
      <c r="D209" s="212"/>
      <c r="E209" s="212"/>
      <c r="F209" s="212"/>
      <c r="G209" s="212"/>
      <c r="H209" s="215"/>
      <c r="I209" s="216"/>
      <c r="J209" s="221"/>
    </row>
    <row r="210" spans="1:10" ht="15" customHeight="1">
      <c r="A210" s="599" t="s">
        <v>80</v>
      </c>
      <c r="B210" s="619" t="s">
        <v>12</v>
      </c>
      <c r="C210" s="543"/>
      <c r="D210" s="543"/>
      <c r="E210" s="543"/>
      <c r="F210" s="543"/>
      <c r="G210" s="543"/>
      <c r="H210" s="544"/>
      <c r="I210" s="545"/>
      <c r="J210" s="546"/>
    </row>
    <row r="211" spans="1:10" ht="15" customHeight="1">
      <c r="A211" s="211" t="s">
        <v>17</v>
      </c>
      <c r="B211" s="594" t="s">
        <v>113</v>
      </c>
      <c r="C211" s="593"/>
      <c r="D211" s="593"/>
      <c r="E211" s="593"/>
      <c r="F211" s="593"/>
      <c r="G211" s="593"/>
      <c r="H211" s="213"/>
      <c r="I211" s="594"/>
      <c r="J211" s="221"/>
    </row>
    <row r="212" spans="1:10" ht="15" customHeight="1">
      <c r="A212" s="214" t="s">
        <v>121</v>
      </c>
      <c r="B212" s="594" t="s">
        <v>526</v>
      </c>
      <c r="C212" s="593"/>
      <c r="D212" s="593"/>
      <c r="E212" s="593"/>
      <c r="F212" s="593"/>
      <c r="G212" s="593"/>
      <c r="H212" s="215"/>
      <c r="I212" s="216"/>
      <c r="J212" s="221"/>
    </row>
    <row r="213" spans="1:10" ht="15" customHeight="1">
      <c r="A213" s="211"/>
      <c r="B213" s="594" t="s">
        <v>119</v>
      </c>
      <c r="C213" s="660"/>
      <c r="D213" s="655" t="s">
        <v>207</v>
      </c>
      <c r="E213" s="655" t="s">
        <v>168</v>
      </c>
      <c r="F213" s="655"/>
      <c r="G213" s="593"/>
      <c r="H213" s="593" t="s">
        <v>8</v>
      </c>
      <c r="I213" s="594"/>
      <c r="J213" s="221"/>
    </row>
    <row r="214" spans="1:10" ht="15" customHeight="1">
      <c r="A214" s="214" t="s">
        <v>121</v>
      </c>
      <c r="B214" s="594" t="s">
        <v>522</v>
      </c>
      <c r="C214" s="661"/>
      <c r="D214" s="640">
        <v>886</v>
      </c>
      <c r="E214" s="640">
        <v>0.12</v>
      </c>
      <c r="F214" s="593"/>
      <c r="G214" s="593"/>
      <c r="H214" s="662">
        <f>D214*E214</f>
        <v>106.32</v>
      </c>
      <c r="I214" s="212" t="s">
        <v>90</v>
      </c>
      <c r="J214" s="221"/>
    </row>
    <row r="215" spans="1:10" ht="15" customHeight="1">
      <c r="A215" s="214"/>
      <c r="B215" s="212" t="s">
        <v>523</v>
      </c>
      <c r="C215" s="661"/>
      <c r="D215" s="632">
        <v>14</v>
      </c>
      <c r="E215" s="632">
        <v>0.12</v>
      </c>
      <c r="F215" s="212"/>
      <c r="G215" s="212"/>
      <c r="H215" s="662">
        <f t="shared" ref="H215:H217" si="10">D215*E215</f>
        <v>1.68</v>
      </c>
      <c r="I215" s="212" t="s">
        <v>90</v>
      </c>
      <c r="J215" s="221"/>
    </row>
    <row r="216" spans="1:10" ht="15" customHeight="1">
      <c r="A216" s="214"/>
      <c r="B216" s="594" t="s">
        <v>525</v>
      </c>
      <c r="C216" s="661"/>
      <c r="D216" s="632">
        <v>1772</v>
      </c>
      <c r="E216" s="632">
        <v>0.12</v>
      </c>
      <c r="F216" s="631"/>
      <c r="G216" s="631"/>
      <c r="H216" s="662">
        <f t="shared" si="10"/>
        <v>212.64</v>
      </c>
      <c r="I216" s="212" t="s">
        <v>90</v>
      </c>
      <c r="J216" s="221"/>
    </row>
    <row r="217" spans="1:10" ht="15" customHeight="1">
      <c r="A217" s="214"/>
      <c r="B217" s="212" t="s">
        <v>524</v>
      </c>
      <c r="C217" s="661"/>
      <c r="D217" s="632">
        <v>14</v>
      </c>
      <c r="E217" s="632">
        <v>0.12</v>
      </c>
      <c r="F217" s="212"/>
      <c r="G217" s="212"/>
      <c r="H217" s="662">
        <f t="shared" si="10"/>
        <v>1.68</v>
      </c>
      <c r="I217" s="212" t="s">
        <v>90</v>
      </c>
      <c r="J217" s="221"/>
    </row>
    <row r="218" spans="1:10" s="47" customFormat="1" ht="15" customHeight="1">
      <c r="A218" s="591"/>
      <c r="B218" s="592" t="s">
        <v>56</v>
      </c>
      <c r="C218" s="593"/>
      <c r="D218" s="593"/>
      <c r="E218" s="593"/>
      <c r="F218" s="593"/>
      <c r="G218" s="593"/>
      <c r="H218" s="215">
        <f>SUM(H214:H217)</f>
        <v>322.32</v>
      </c>
      <c r="I218" s="216" t="s">
        <v>90</v>
      </c>
      <c r="J218" s="221"/>
    </row>
    <row r="219" spans="1:10" ht="15" customHeight="1">
      <c r="A219" s="591"/>
      <c r="B219" s="592"/>
      <c r="C219" s="593"/>
      <c r="D219" s="593"/>
      <c r="E219" s="593"/>
      <c r="F219" s="593"/>
      <c r="G219" s="593"/>
      <c r="H219" s="213"/>
      <c r="I219" s="594"/>
      <c r="J219" s="221"/>
    </row>
    <row r="220" spans="1:10" s="47" customFormat="1" ht="15" customHeight="1">
      <c r="A220" s="591"/>
      <c r="B220" s="592"/>
      <c r="C220" s="593"/>
      <c r="D220" s="593"/>
      <c r="E220" s="593"/>
      <c r="F220" s="593"/>
      <c r="G220" s="593"/>
      <c r="H220" s="213"/>
      <c r="I220" s="594"/>
      <c r="J220" s="221"/>
    </row>
    <row r="221" spans="1:10" ht="15" customHeight="1">
      <c r="A221" s="211" t="s">
        <v>15</v>
      </c>
      <c r="B221" s="594" t="s">
        <v>114</v>
      </c>
      <c r="C221" s="593"/>
      <c r="D221" s="593"/>
      <c r="E221" s="593"/>
      <c r="F221" s="593"/>
      <c r="G221" s="593"/>
      <c r="H221" s="213"/>
      <c r="I221" s="594"/>
      <c r="J221" s="221"/>
    </row>
    <row r="222" spans="1:10" ht="15" customHeight="1">
      <c r="A222" s="214" t="s">
        <v>121</v>
      </c>
      <c r="B222" s="594" t="s">
        <v>201</v>
      </c>
      <c r="C222" s="593"/>
      <c r="D222" s="593"/>
      <c r="E222" s="593"/>
      <c r="F222" s="593"/>
      <c r="G222" s="593"/>
      <c r="H222" s="215"/>
      <c r="I222" s="216"/>
      <c r="J222" s="221"/>
    </row>
    <row r="223" spans="1:10" ht="15" customHeight="1">
      <c r="A223" s="214"/>
      <c r="B223" s="594"/>
      <c r="C223" s="655" t="s">
        <v>171</v>
      </c>
      <c r="D223" s="655" t="s">
        <v>534</v>
      </c>
      <c r="E223" s="655" t="s">
        <v>172</v>
      </c>
      <c r="F223" s="655" t="s">
        <v>213</v>
      </c>
      <c r="G223" s="593"/>
      <c r="H223" s="215"/>
      <c r="I223" s="216"/>
      <c r="J223" s="221"/>
    </row>
    <row r="224" spans="1:10" ht="15" customHeight="1">
      <c r="A224" s="591"/>
      <c r="B224" s="594" t="s">
        <v>527</v>
      </c>
      <c r="C224" s="655">
        <v>1</v>
      </c>
      <c r="D224" s="631" t="s">
        <v>535</v>
      </c>
      <c r="E224" s="640">
        <v>0.3</v>
      </c>
      <c r="F224" s="655">
        <f>C224*1</f>
        <v>1</v>
      </c>
      <c r="G224" s="593"/>
      <c r="H224" s="213">
        <f>C224*E224</f>
        <v>0.3</v>
      </c>
      <c r="I224" s="212" t="s">
        <v>90</v>
      </c>
      <c r="J224" s="221"/>
    </row>
    <row r="225" spans="1:10" ht="15" customHeight="1">
      <c r="A225" s="591"/>
      <c r="B225" s="594" t="s">
        <v>528</v>
      </c>
      <c r="C225" s="655">
        <v>7</v>
      </c>
      <c r="D225" s="631" t="s">
        <v>536</v>
      </c>
      <c r="E225" s="640">
        <f>3.1416*0.25^2</f>
        <v>0.19635</v>
      </c>
      <c r="F225" s="655">
        <f t="shared" ref="F225:F230" si="11">C225*1</f>
        <v>7</v>
      </c>
      <c r="G225" s="593"/>
      <c r="H225" s="213">
        <f t="shared" ref="H225:H231" si="12">C225*E225</f>
        <v>1.3744499999999999</v>
      </c>
      <c r="I225" s="212" t="s">
        <v>90</v>
      </c>
      <c r="J225" s="221"/>
    </row>
    <row r="226" spans="1:10" ht="15" customHeight="1">
      <c r="A226" s="591"/>
      <c r="B226" s="594" t="s">
        <v>529</v>
      </c>
      <c r="C226" s="655">
        <v>4</v>
      </c>
      <c r="D226" s="631" t="s">
        <v>536</v>
      </c>
      <c r="E226" s="640">
        <f>3.1416*0.25^2</f>
        <v>0.19635</v>
      </c>
      <c r="F226" s="655">
        <f t="shared" si="11"/>
        <v>4</v>
      </c>
      <c r="G226" s="593"/>
      <c r="H226" s="213">
        <f t="shared" si="12"/>
        <v>0.78539999999999999</v>
      </c>
      <c r="I226" s="212" t="s">
        <v>90</v>
      </c>
      <c r="J226" s="221"/>
    </row>
    <row r="227" spans="1:10" ht="15" customHeight="1">
      <c r="A227" s="591"/>
      <c r="B227" s="594" t="s">
        <v>530</v>
      </c>
      <c r="C227" s="655">
        <v>3</v>
      </c>
      <c r="D227" s="631" t="s">
        <v>537</v>
      </c>
      <c r="E227" s="640">
        <f>0.5*0.5</f>
        <v>0.25</v>
      </c>
      <c r="F227" s="655">
        <f t="shared" si="11"/>
        <v>3</v>
      </c>
      <c r="G227" s="593"/>
      <c r="H227" s="213">
        <f t="shared" si="12"/>
        <v>0.75</v>
      </c>
      <c r="I227" s="212" t="s">
        <v>90</v>
      </c>
      <c r="J227" s="221"/>
    </row>
    <row r="228" spans="1:10" ht="15" customHeight="1">
      <c r="A228" s="591"/>
      <c r="B228" s="594" t="s">
        <v>531</v>
      </c>
      <c r="C228" s="655">
        <v>3</v>
      </c>
      <c r="D228" s="631" t="s">
        <v>537</v>
      </c>
      <c r="E228" s="640">
        <f t="shared" ref="E228:E230" si="13">0.5*0.5</f>
        <v>0.25</v>
      </c>
      <c r="F228" s="655">
        <f t="shared" si="11"/>
        <v>3</v>
      </c>
      <c r="G228" s="593"/>
      <c r="H228" s="213">
        <f t="shared" si="12"/>
        <v>0.75</v>
      </c>
      <c r="I228" s="212" t="s">
        <v>90</v>
      </c>
      <c r="J228" s="221"/>
    </row>
    <row r="229" spans="1:10" ht="15" customHeight="1">
      <c r="A229" s="591"/>
      <c r="B229" s="594" t="s">
        <v>532</v>
      </c>
      <c r="C229" s="655">
        <v>1</v>
      </c>
      <c r="D229" s="631" t="s">
        <v>537</v>
      </c>
      <c r="E229" s="640">
        <f t="shared" si="13"/>
        <v>0.25</v>
      </c>
      <c r="F229" s="655">
        <f t="shared" si="11"/>
        <v>1</v>
      </c>
      <c r="G229" s="593"/>
      <c r="H229" s="213">
        <f t="shared" si="12"/>
        <v>0.25</v>
      </c>
      <c r="I229" s="212" t="s">
        <v>90</v>
      </c>
      <c r="J229" s="221"/>
    </row>
    <row r="230" spans="1:10" ht="15" customHeight="1">
      <c r="A230" s="591"/>
      <c r="B230" s="594" t="s">
        <v>533</v>
      </c>
      <c r="C230" s="655">
        <v>1</v>
      </c>
      <c r="D230" s="631" t="s">
        <v>537</v>
      </c>
      <c r="E230" s="640">
        <f t="shared" si="13"/>
        <v>0.25</v>
      </c>
      <c r="F230" s="655">
        <f t="shared" si="11"/>
        <v>1</v>
      </c>
      <c r="G230" s="593"/>
      <c r="H230" s="213">
        <f t="shared" si="12"/>
        <v>0.25</v>
      </c>
      <c r="I230" s="212" t="s">
        <v>90</v>
      </c>
      <c r="J230" s="221"/>
    </row>
    <row r="231" spans="1:10" ht="15" customHeight="1">
      <c r="A231" s="591"/>
      <c r="B231" s="594" t="s">
        <v>139</v>
      </c>
      <c r="C231" s="655">
        <v>2</v>
      </c>
      <c r="D231" s="631" t="s">
        <v>538</v>
      </c>
      <c r="E231" s="640">
        <f>2*0.5</f>
        <v>1</v>
      </c>
      <c r="F231" s="655">
        <f>C231*2</f>
        <v>4</v>
      </c>
      <c r="G231" s="593"/>
      <c r="H231" s="213">
        <f t="shared" si="12"/>
        <v>2</v>
      </c>
      <c r="I231" s="212" t="s">
        <v>90</v>
      </c>
      <c r="J231" s="221"/>
    </row>
    <row r="232" spans="1:10" ht="15" customHeight="1">
      <c r="A232" s="591"/>
      <c r="B232" s="592" t="s">
        <v>56</v>
      </c>
      <c r="C232" s="663">
        <f>SUM(C224:C231)</f>
        <v>22</v>
      </c>
      <c r="D232" s="623"/>
      <c r="E232" s="593"/>
      <c r="F232" s="663">
        <f>SUM(F224:F231)</f>
        <v>24</v>
      </c>
      <c r="G232" s="593"/>
      <c r="H232" s="215">
        <f>SUM(H224:H229)</f>
        <v>4.2098499999999994</v>
      </c>
      <c r="I232" s="216" t="s">
        <v>90</v>
      </c>
      <c r="J232" s="221"/>
    </row>
    <row r="233" spans="1:10" ht="15" customHeight="1">
      <c r="A233" s="591"/>
      <c r="B233" s="592"/>
      <c r="C233" s="593"/>
      <c r="D233" s="593"/>
      <c r="E233" s="593"/>
      <c r="F233" s="593"/>
      <c r="G233" s="593"/>
      <c r="H233" s="213"/>
      <c r="I233" s="594"/>
      <c r="J233" s="221"/>
    </row>
    <row r="234" spans="1:10" ht="15" customHeight="1">
      <c r="A234" s="211" t="s">
        <v>14</v>
      </c>
      <c r="B234" s="594" t="s">
        <v>115</v>
      </c>
      <c r="C234" s="593"/>
      <c r="D234" s="593"/>
      <c r="E234" s="593"/>
      <c r="F234" s="593"/>
      <c r="G234" s="593"/>
      <c r="H234" s="213"/>
      <c r="I234" s="212"/>
      <c r="J234" s="221"/>
    </row>
    <row r="235" spans="1:10" ht="15" customHeight="1">
      <c r="A235" s="214" t="s">
        <v>121</v>
      </c>
      <c r="B235" s="594" t="s">
        <v>586</v>
      </c>
      <c r="C235" s="593"/>
      <c r="D235" s="593"/>
      <c r="E235" s="593"/>
      <c r="F235" s="593"/>
      <c r="G235" s="593"/>
      <c r="H235" s="215"/>
      <c r="I235" s="216"/>
      <c r="J235" s="221"/>
    </row>
    <row r="236" spans="1:10" ht="15" customHeight="1">
      <c r="A236" s="591"/>
      <c r="B236" s="594" t="s">
        <v>587</v>
      </c>
      <c r="C236" s="593"/>
      <c r="D236" s="593"/>
      <c r="E236" s="593"/>
      <c r="F236" s="593"/>
      <c r="G236" s="593"/>
      <c r="H236" s="215">
        <f>F232*3</f>
        <v>72</v>
      </c>
      <c r="I236" s="216" t="s">
        <v>16</v>
      </c>
      <c r="J236" s="221"/>
    </row>
    <row r="237" spans="1:10" ht="15" customHeight="1">
      <c r="A237" s="591"/>
      <c r="B237" s="594"/>
      <c r="C237" s="593"/>
      <c r="D237" s="593"/>
      <c r="E237" s="593"/>
      <c r="F237" s="593"/>
      <c r="G237" s="593"/>
      <c r="H237" s="215"/>
      <c r="I237" s="216"/>
      <c r="J237" s="221"/>
    </row>
    <row r="238" spans="1:10" ht="15" customHeight="1">
      <c r="A238" s="211" t="s">
        <v>13</v>
      </c>
      <c r="B238" s="594" t="s">
        <v>541</v>
      </c>
      <c r="C238" s="593"/>
      <c r="D238" s="593"/>
      <c r="E238" s="593"/>
      <c r="F238" s="593"/>
      <c r="G238" s="593"/>
      <c r="H238" s="213"/>
      <c r="I238" s="212"/>
      <c r="J238" s="221"/>
    </row>
    <row r="239" spans="1:10" ht="15" customHeight="1">
      <c r="A239" s="214" t="s">
        <v>121</v>
      </c>
      <c r="B239" s="594" t="s">
        <v>542</v>
      </c>
      <c r="C239" s="593"/>
      <c r="D239" s="593"/>
      <c r="E239" s="593"/>
      <c r="F239" s="593"/>
      <c r="G239" s="593"/>
      <c r="H239" s="215"/>
      <c r="I239" s="216"/>
      <c r="J239" s="221"/>
    </row>
    <row r="240" spans="1:10" ht="15" customHeight="1">
      <c r="A240" s="591"/>
      <c r="B240" s="594" t="s">
        <v>543</v>
      </c>
      <c r="C240" s="593"/>
      <c r="D240" s="593"/>
      <c r="E240" s="593"/>
      <c r="F240" s="593"/>
      <c r="G240" s="593"/>
      <c r="H240" s="213">
        <v>111</v>
      </c>
      <c r="I240" s="623" t="s">
        <v>138</v>
      </c>
      <c r="J240" s="221"/>
    </row>
    <row r="241" spans="1:16" ht="15" customHeight="1">
      <c r="A241" s="591"/>
      <c r="B241" s="594" t="s">
        <v>544</v>
      </c>
      <c r="C241" s="593"/>
      <c r="D241" s="593"/>
      <c r="E241" s="593"/>
      <c r="F241" s="593"/>
      <c r="G241" s="593"/>
      <c r="H241" s="213">
        <v>222</v>
      </c>
      <c r="I241" s="623" t="s">
        <v>138</v>
      </c>
      <c r="J241" s="221"/>
    </row>
    <row r="242" spans="1:16" ht="15" customHeight="1">
      <c r="A242" s="591"/>
      <c r="B242" s="592" t="s">
        <v>56</v>
      </c>
      <c r="C242" s="593"/>
      <c r="D242" s="593"/>
      <c r="E242" s="593"/>
      <c r="F242" s="593"/>
      <c r="G242" s="593"/>
      <c r="H242" s="215">
        <f>SUM(H238:H241)</f>
        <v>333</v>
      </c>
      <c r="I242" s="649" t="s">
        <v>138</v>
      </c>
      <c r="J242" s="221"/>
    </row>
    <row r="243" spans="1:16" ht="15" customHeight="1">
      <c r="A243" s="591"/>
      <c r="B243" s="594"/>
      <c r="C243" s="593"/>
      <c r="D243" s="593"/>
      <c r="E243" s="593"/>
      <c r="F243" s="593"/>
      <c r="G243" s="593"/>
      <c r="H243" s="215"/>
      <c r="I243" s="216"/>
      <c r="J243" s="221"/>
    </row>
    <row r="244" spans="1:16" ht="15" customHeight="1">
      <c r="A244" s="605" t="s">
        <v>81</v>
      </c>
      <c r="B244" s="620" t="s">
        <v>545</v>
      </c>
      <c r="C244" s="606"/>
      <c r="D244" s="606"/>
      <c r="E244" s="606"/>
      <c r="F244" s="606"/>
      <c r="G244" s="606"/>
      <c r="H244" s="617"/>
      <c r="I244" s="618"/>
      <c r="J244" s="615"/>
      <c r="N244" s="564"/>
      <c r="O244" s="564"/>
      <c r="P244" s="564"/>
    </row>
    <row r="245" spans="1:16" ht="15" customHeight="1">
      <c r="A245" s="566" t="s">
        <v>11</v>
      </c>
      <c r="B245" s="572" t="s">
        <v>217</v>
      </c>
      <c r="C245" s="607"/>
      <c r="D245" s="607"/>
      <c r="E245" s="607"/>
      <c r="F245" s="607"/>
      <c r="G245" s="607"/>
      <c r="H245" s="608"/>
      <c r="I245" s="572"/>
      <c r="J245" s="616"/>
      <c r="N245" s="564"/>
      <c r="O245" s="564"/>
      <c r="P245" s="564"/>
    </row>
    <row r="246" spans="1:16" ht="15" customHeight="1">
      <c r="A246" s="568" t="s">
        <v>121</v>
      </c>
      <c r="B246" s="572" t="s">
        <v>555</v>
      </c>
      <c r="C246" s="609"/>
      <c r="D246" s="609"/>
      <c r="E246" s="610"/>
      <c r="F246" s="607"/>
      <c r="G246" s="607"/>
      <c r="H246" s="672">
        <v>1</v>
      </c>
      <c r="I246" s="614" t="s">
        <v>138</v>
      </c>
      <c r="J246" s="616"/>
      <c r="N246" s="564"/>
      <c r="O246" s="564"/>
      <c r="P246" s="564"/>
    </row>
    <row r="247" spans="1:16" ht="15" customHeight="1">
      <c r="A247" s="612"/>
      <c r="B247" s="572"/>
      <c r="C247" s="609"/>
      <c r="D247" s="613"/>
      <c r="E247" s="572"/>
      <c r="F247" s="572"/>
      <c r="G247" s="572"/>
      <c r="H247" s="611"/>
      <c r="I247" s="567"/>
      <c r="J247" s="616"/>
      <c r="N247" s="564"/>
      <c r="O247" s="564"/>
      <c r="P247" s="564"/>
    </row>
    <row r="248" spans="1:16" ht="15" customHeight="1">
      <c r="A248" s="566" t="s">
        <v>10</v>
      </c>
      <c r="B248" s="572" t="s">
        <v>142</v>
      </c>
      <c r="C248" s="607"/>
      <c r="E248" s="609" t="s">
        <v>167</v>
      </c>
      <c r="F248" s="609" t="s">
        <v>168</v>
      </c>
      <c r="G248" s="607" t="s">
        <v>642</v>
      </c>
      <c r="H248" s="608"/>
      <c r="I248" s="572"/>
      <c r="J248" s="616"/>
      <c r="N248" s="564"/>
      <c r="O248" s="564"/>
      <c r="P248" s="564"/>
    </row>
    <row r="249" spans="1:16" ht="15" customHeight="1">
      <c r="A249" s="568" t="s">
        <v>121</v>
      </c>
      <c r="B249" s="572" t="s">
        <v>641</v>
      </c>
      <c r="C249" s="609"/>
      <c r="E249" s="569">
        <f>J4</f>
        <v>900</v>
      </c>
      <c r="F249" s="613">
        <v>8</v>
      </c>
      <c r="G249" s="613">
        <v>35.299999999999997</v>
      </c>
      <c r="H249" s="571">
        <f>E249*F249+G249</f>
        <v>7235.3</v>
      </c>
      <c r="I249" s="570" t="s">
        <v>90</v>
      </c>
      <c r="J249" s="616"/>
      <c r="N249" s="564"/>
      <c r="O249" s="564"/>
      <c r="P249" s="564"/>
    </row>
    <row r="250" spans="1:16" s="574" customFormat="1" ht="15" customHeight="1">
      <c r="A250" s="568"/>
      <c r="B250" s="572"/>
      <c r="C250" s="610"/>
      <c r="D250" s="569"/>
      <c r="E250" s="572"/>
      <c r="F250" s="572"/>
      <c r="G250" s="572"/>
      <c r="H250" s="611"/>
      <c r="I250" s="567"/>
      <c r="J250" s="573"/>
      <c r="N250" s="575"/>
      <c r="O250" s="575"/>
      <c r="P250" s="575"/>
    </row>
    <row r="251" spans="1:16" ht="15" customHeight="1">
      <c r="A251" s="566" t="s">
        <v>554</v>
      </c>
      <c r="B251" s="572" t="s">
        <v>548</v>
      </c>
      <c r="C251" s="607"/>
      <c r="D251" s="607"/>
      <c r="E251" s="609"/>
      <c r="F251" s="609"/>
      <c r="G251" s="607"/>
      <c r="H251" s="608"/>
      <c r="I251" s="572"/>
      <c r="J251" s="616"/>
      <c r="N251" s="564"/>
      <c r="O251" s="564"/>
      <c r="P251" s="564"/>
    </row>
    <row r="252" spans="1:16" ht="15" customHeight="1">
      <c r="A252" s="568" t="s">
        <v>121</v>
      </c>
      <c r="B252" s="572" t="s">
        <v>549</v>
      </c>
      <c r="C252" s="609"/>
      <c r="D252" s="609"/>
      <c r="E252" s="569"/>
      <c r="F252" s="613"/>
      <c r="G252" s="607"/>
      <c r="H252" s="611" t="s">
        <v>547</v>
      </c>
      <c r="I252" s="570" t="s">
        <v>8</v>
      </c>
      <c r="J252" s="616"/>
      <c r="N252" s="564"/>
      <c r="O252" s="564"/>
      <c r="P252" s="564"/>
    </row>
    <row r="253" spans="1:16" s="574" customFormat="1" ht="15" customHeight="1">
      <c r="A253" s="568"/>
      <c r="B253" s="572"/>
      <c r="C253" s="610"/>
      <c r="D253" s="569"/>
      <c r="E253" s="572"/>
      <c r="F253" s="572"/>
      <c r="G253" s="572"/>
      <c r="H253" s="611"/>
      <c r="I253" s="567"/>
      <c r="J253" s="573"/>
      <c r="N253" s="575"/>
      <c r="O253" s="575"/>
      <c r="P253" s="575"/>
    </row>
    <row r="254" spans="1:16" ht="15" customHeight="1">
      <c r="A254" s="566" t="s">
        <v>417</v>
      </c>
      <c r="B254" s="572" t="s">
        <v>415</v>
      </c>
      <c r="C254" s="607"/>
      <c r="D254" s="607"/>
      <c r="E254" s="607"/>
      <c r="F254" s="607"/>
      <c r="G254" s="607"/>
      <c r="H254" s="608"/>
      <c r="I254" s="572"/>
      <c r="J254" s="616"/>
      <c r="N254" s="564"/>
      <c r="O254" s="564"/>
      <c r="P254" s="564"/>
    </row>
    <row r="255" spans="1:16" ht="15" customHeight="1">
      <c r="A255" s="568" t="s">
        <v>121</v>
      </c>
      <c r="B255" s="572" t="s">
        <v>546</v>
      </c>
      <c r="C255" s="609"/>
      <c r="D255" s="609"/>
      <c r="E255" s="610"/>
      <c r="F255" s="607"/>
      <c r="G255" s="607"/>
      <c r="H255" s="611" t="s">
        <v>547</v>
      </c>
      <c r="I255" s="572"/>
      <c r="J255" s="616"/>
      <c r="N255" s="564"/>
      <c r="O255" s="564"/>
      <c r="P255" s="564"/>
    </row>
    <row r="256" spans="1:16" ht="15" customHeight="1" thickBot="1">
      <c r="A256" s="664"/>
      <c r="B256" s="665"/>
      <c r="C256" s="666"/>
      <c r="D256" s="666"/>
      <c r="E256" s="666"/>
      <c r="F256" s="666"/>
      <c r="G256" s="666"/>
      <c r="H256" s="667"/>
      <c r="I256" s="668"/>
      <c r="J256" s="669"/>
    </row>
  </sheetData>
  <sheetProtection selectLockedCells="1" selectUnlockedCells="1"/>
  <mergeCells count="2">
    <mergeCell ref="A2:J2"/>
    <mergeCell ref="A1:J1"/>
  </mergeCells>
  <printOptions horizontalCentered="1"/>
  <pageMargins left="1.1811023622047245" right="1.1811023622047245" top="1.1811023622047245" bottom="0.98425196850393704" header="0.19685039370078741" footer="0.19685039370078741"/>
  <pageSetup paperSize="9" scale="65" fitToHeight="7" orientation="landscape" r:id="rId1"/>
  <headerFooter>
    <oddHeader xml:space="preserve">&amp;R&amp;12
</oddHeader>
  </headerFooter>
</worksheet>
</file>

<file path=xl/worksheets/sheet5.xml><?xml version="1.0" encoding="utf-8"?>
<worksheet xmlns="http://schemas.openxmlformats.org/spreadsheetml/2006/main" xmlns:r="http://schemas.openxmlformats.org/officeDocument/2006/relationships">
  <sheetPr>
    <pageSetUpPr fitToPage="1"/>
  </sheetPr>
  <dimension ref="B1:R46"/>
  <sheetViews>
    <sheetView zoomScale="90" zoomScaleNormal="90" workbookViewId="0">
      <selection activeCell="D42" sqref="D42"/>
    </sheetView>
  </sheetViews>
  <sheetFormatPr defaultRowHeight="12.75"/>
  <cols>
    <col min="1" max="1" width="9.140625" style="701"/>
    <col min="2" max="2" width="66.85546875" style="701" customWidth="1"/>
    <col min="3" max="8" width="15.7109375" style="702" customWidth="1"/>
    <col min="9" max="16384" width="9.140625" style="701"/>
  </cols>
  <sheetData>
    <row r="1" spans="2:8" ht="15" customHeight="1" thickBot="1">
      <c r="C1" s="701"/>
      <c r="D1" s="701"/>
      <c r="E1" s="701"/>
      <c r="F1" s="701"/>
      <c r="G1" s="701"/>
      <c r="H1" s="701"/>
    </row>
    <row r="2" spans="2:8" ht="15" customHeight="1">
      <c r="B2" s="881" t="s">
        <v>453</v>
      </c>
      <c r="C2" s="882"/>
      <c r="D2" s="882"/>
      <c r="E2" s="882"/>
      <c r="F2" s="882"/>
      <c r="G2" s="882"/>
      <c r="H2" s="883"/>
    </row>
    <row r="3" spans="2:8" ht="15" customHeight="1">
      <c r="B3" s="884" t="s">
        <v>635</v>
      </c>
      <c r="C3" s="885"/>
      <c r="D3" s="885"/>
      <c r="E3" s="885"/>
      <c r="F3" s="885"/>
      <c r="G3" s="885"/>
      <c r="H3" s="886"/>
    </row>
    <row r="4" spans="2:8" ht="15" customHeight="1">
      <c r="B4" s="737"/>
      <c r="C4" s="738"/>
      <c r="D4" s="738"/>
      <c r="E4" s="738"/>
      <c r="F4" s="738"/>
      <c r="G4" s="738"/>
      <c r="H4" s="739"/>
    </row>
    <row r="5" spans="2:8" ht="15" customHeight="1">
      <c r="B5" s="733" t="s">
        <v>455</v>
      </c>
      <c r="C5" s="734"/>
      <c r="D5" s="734"/>
      <c r="E5" s="734"/>
      <c r="F5" s="734"/>
      <c r="G5" s="736" t="s">
        <v>422</v>
      </c>
      <c r="H5" s="525" t="s">
        <v>588</v>
      </c>
    </row>
    <row r="6" spans="2:8" ht="15" customHeight="1">
      <c r="B6" s="733" t="s">
        <v>637</v>
      </c>
      <c r="C6" s="734"/>
      <c r="D6" s="734"/>
      <c r="E6" s="734"/>
      <c r="F6" s="734"/>
      <c r="G6" s="526" t="s">
        <v>636</v>
      </c>
      <c r="H6" s="525" t="s">
        <v>589</v>
      </c>
    </row>
    <row r="7" spans="2:8" ht="15" customHeight="1">
      <c r="B7" s="733"/>
      <c r="C7" s="734"/>
      <c r="D7" s="734"/>
      <c r="E7" s="734"/>
      <c r="F7" s="734"/>
      <c r="G7" s="526" t="s">
        <v>425</v>
      </c>
      <c r="H7" s="735" t="s">
        <v>91</v>
      </c>
    </row>
    <row r="8" spans="2:8" ht="15" customHeight="1">
      <c r="B8" s="703" t="s">
        <v>602</v>
      </c>
      <c r="C8" s="704"/>
      <c r="D8" s="705"/>
      <c r="E8" s="874" t="s">
        <v>603</v>
      </c>
      <c r="F8" s="876" t="s">
        <v>604</v>
      </c>
      <c r="G8" s="874" t="s">
        <v>605</v>
      </c>
      <c r="H8" s="706" t="s">
        <v>605</v>
      </c>
    </row>
    <row r="9" spans="2:8" ht="15" customHeight="1">
      <c r="B9" s="707" t="s">
        <v>606</v>
      </c>
      <c r="C9" s="708"/>
      <c r="D9" s="708"/>
      <c r="E9" s="875"/>
      <c r="F9" s="877"/>
      <c r="G9" s="875"/>
      <c r="H9" s="709" t="s">
        <v>607</v>
      </c>
    </row>
    <row r="10" spans="2:8" ht="15" customHeight="1">
      <c r="B10" s="878" t="s">
        <v>608</v>
      </c>
      <c r="C10" s="879"/>
      <c r="D10" s="880"/>
      <c r="E10" s="710" t="s">
        <v>609</v>
      </c>
      <c r="F10" s="711">
        <v>4.6399999999999997E-2</v>
      </c>
      <c r="G10" s="712">
        <v>215.49</v>
      </c>
      <c r="H10" s="713">
        <f>F10*G10</f>
        <v>9.9987359999999992</v>
      </c>
    </row>
    <row r="11" spans="2:8" ht="15" customHeight="1">
      <c r="B11" s="868" t="s">
        <v>610</v>
      </c>
      <c r="C11" s="869"/>
      <c r="D11" s="870"/>
      <c r="E11" s="712" t="s">
        <v>611</v>
      </c>
      <c r="F11" s="711">
        <v>9.4899999999999998E-2</v>
      </c>
      <c r="G11" s="712">
        <v>90.58</v>
      </c>
      <c r="H11" s="713">
        <f t="shared" ref="H11:H18" si="0">F11*G11</f>
        <v>8.5960419999999989</v>
      </c>
    </row>
    <row r="12" spans="2:8" ht="15" customHeight="1">
      <c r="B12" s="871" t="s">
        <v>612</v>
      </c>
      <c r="C12" s="872"/>
      <c r="D12" s="873"/>
      <c r="E12" s="712" t="s">
        <v>609</v>
      </c>
      <c r="F12" s="711">
        <v>4.6399999999999997E-2</v>
      </c>
      <c r="G12" s="712">
        <v>19.559999999999999</v>
      </c>
      <c r="H12" s="713">
        <f t="shared" si="0"/>
        <v>0.90758399999999984</v>
      </c>
    </row>
    <row r="13" spans="2:8" ht="15" customHeight="1">
      <c r="B13" s="868" t="s">
        <v>613</v>
      </c>
      <c r="C13" s="869"/>
      <c r="D13" s="870"/>
      <c r="E13" s="712" t="s">
        <v>609</v>
      </c>
      <c r="F13" s="711">
        <v>8.0500000000000002E-2</v>
      </c>
      <c r="G13" s="712">
        <v>169.22</v>
      </c>
      <c r="H13" s="713">
        <f>F13*G13</f>
        <v>13.622210000000001</v>
      </c>
    </row>
    <row r="14" spans="2:8" ht="15" customHeight="1">
      <c r="B14" s="868" t="s">
        <v>614</v>
      </c>
      <c r="C14" s="869"/>
      <c r="D14" s="870"/>
      <c r="E14" s="712" t="s">
        <v>611</v>
      </c>
      <c r="F14" s="711">
        <v>6.0699999999999997E-2</v>
      </c>
      <c r="G14" s="712">
        <v>52.82</v>
      </c>
      <c r="H14" s="713">
        <f>F14*G14</f>
        <v>3.2061739999999999</v>
      </c>
    </row>
    <row r="15" spans="2:8" ht="15" customHeight="1">
      <c r="B15" s="868" t="s">
        <v>615</v>
      </c>
      <c r="C15" s="869"/>
      <c r="D15" s="870"/>
      <c r="E15" s="712" t="s">
        <v>611</v>
      </c>
      <c r="F15" s="711">
        <v>0.1071</v>
      </c>
      <c r="G15" s="712">
        <v>39.700000000000003</v>
      </c>
      <c r="H15" s="713">
        <f>F15*G15</f>
        <v>4.2518700000000003</v>
      </c>
    </row>
    <row r="16" spans="2:8" ht="15" customHeight="1">
      <c r="B16" s="868" t="s">
        <v>616</v>
      </c>
      <c r="C16" s="869"/>
      <c r="D16" s="870"/>
      <c r="E16" s="712" t="s">
        <v>609</v>
      </c>
      <c r="F16" s="711">
        <v>3.4099999999999998E-2</v>
      </c>
      <c r="G16" s="712">
        <v>87.56</v>
      </c>
      <c r="H16" s="713">
        <f>F16*G16</f>
        <v>2.9857960000000001</v>
      </c>
    </row>
    <row r="17" spans="2:8" ht="15" customHeight="1">
      <c r="B17" s="871" t="s">
        <v>617</v>
      </c>
      <c r="C17" s="872"/>
      <c r="D17" s="873"/>
      <c r="E17" s="712" t="s">
        <v>609</v>
      </c>
      <c r="F17" s="711">
        <v>4.19E-2</v>
      </c>
      <c r="G17" s="712">
        <v>141.65</v>
      </c>
      <c r="H17" s="713">
        <f t="shared" si="0"/>
        <v>5.9351349999999998</v>
      </c>
    </row>
    <row r="18" spans="2:8" ht="15" customHeight="1">
      <c r="B18" s="871" t="s">
        <v>618</v>
      </c>
      <c r="C18" s="872"/>
      <c r="D18" s="873"/>
      <c r="E18" s="712" t="s">
        <v>611</v>
      </c>
      <c r="F18" s="711">
        <v>0.24060000000000001</v>
      </c>
      <c r="G18" s="712">
        <v>56.33</v>
      </c>
      <c r="H18" s="713">
        <f t="shared" si="0"/>
        <v>13.552998000000001</v>
      </c>
    </row>
    <row r="19" spans="2:8" ht="15" customHeight="1">
      <c r="B19" s="714"/>
      <c r="C19" s="715"/>
      <c r="D19" s="715"/>
      <c r="E19" s="715"/>
      <c r="F19" s="715"/>
      <c r="G19" s="716" t="s">
        <v>619</v>
      </c>
      <c r="H19" s="717">
        <f>SUM(H10:H18)</f>
        <v>63.056545000000007</v>
      </c>
    </row>
    <row r="20" spans="2:8" ht="15" customHeight="1">
      <c r="B20" s="703" t="s">
        <v>620</v>
      </c>
      <c r="C20" s="704"/>
      <c r="D20" s="704"/>
      <c r="E20" s="718"/>
      <c r="F20" s="718"/>
      <c r="G20" s="718" t="s">
        <v>621</v>
      </c>
      <c r="H20" s="706" t="s">
        <v>605</v>
      </c>
    </row>
    <row r="21" spans="2:8" ht="15" customHeight="1">
      <c r="B21" s="707" t="s">
        <v>606</v>
      </c>
      <c r="C21" s="708"/>
      <c r="D21" s="708"/>
      <c r="E21" s="719" t="s">
        <v>603</v>
      </c>
      <c r="F21" s="719" t="s">
        <v>604</v>
      </c>
      <c r="G21" s="719" t="s">
        <v>622</v>
      </c>
      <c r="H21" s="709" t="s">
        <v>607</v>
      </c>
    </row>
    <row r="22" spans="2:8" ht="15" customHeight="1">
      <c r="B22" s="431" t="s">
        <v>623</v>
      </c>
      <c r="C22" s="720"/>
      <c r="D22" s="720"/>
      <c r="E22" s="721" t="s">
        <v>624</v>
      </c>
      <c r="F22" s="721">
        <v>1.1301000000000001</v>
      </c>
      <c r="G22" s="722">
        <v>19.559999999999999</v>
      </c>
      <c r="H22" s="723">
        <f>F22*G22</f>
        <v>22.104756000000002</v>
      </c>
    </row>
    <row r="23" spans="2:8" ht="15" customHeight="1">
      <c r="B23" s="431"/>
      <c r="C23" s="720"/>
      <c r="D23" s="720"/>
      <c r="E23" s="724"/>
      <c r="F23" s="724"/>
      <c r="G23" s="725"/>
      <c r="H23" s="723"/>
    </row>
    <row r="24" spans="2:8" ht="15" customHeight="1">
      <c r="B24" s="714"/>
      <c r="C24" s="715"/>
      <c r="D24" s="715"/>
      <c r="E24" s="715"/>
      <c r="F24" s="715"/>
      <c r="G24" s="716" t="s">
        <v>625</v>
      </c>
      <c r="H24" s="726">
        <f>SUM(H22:H23)</f>
        <v>22.104756000000002</v>
      </c>
    </row>
    <row r="25" spans="2:8" ht="15" customHeight="1">
      <c r="B25" s="714" t="s">
        <v>626</v>
      </c>
      <c r="C25" s="715"/>
      <c r="D25" s="715"/>
      <c r="E25" s="715"/>
      <c r="F25" s="727" t="s">
        <v>627</v>
      </c>
      <c r="G25" s="716"/>
      <c r="H25" s="717">
        <f>H19+H24</f>
        <v>85.161301000000009</v>
      </c>
    </row>
    <row r="26" spans="2:8" ht="15" customHeight="1">
      <c r="B26" s="714" t="s">
        <v>628</v>
      </c>
      <c r="C26" s="715"/>
      <c r="D26" s="715"/>
      <c r="E26" s="715"/>
      <c r="F26" s="716"/>
      <c r="G26" s="716"/>
      <c r="H26" s="717">
        <f>H25/1</f>
        <v>85.161301000000009</v>
      </c>
    </row>
    <row r="27" spans="2:8" ht="15" customHeight="1">
      <c r="B27" s="703" t="s">
        <v>629</v>
      </c>
      <c r="C27" s="704"/>
      <c r="D27" s="704"/>
      <c r="E27" s="718"/>
      <c r="F27" s="718"/>
      <c r="G27" s="718" t="s">
        <v>8</v>
      </c>
      <c r="H27" s="706" t="s">
        <v>605</v>
      </c>
    </row>
    <row r="28" spans="2:8" ht="15" customHeight="1">
      <c r="B28" s="707" t="s">
        <v>606</v>
      </c>
      <c r="C28" s="708"/>
      <c r="D28" s="708"/>
      <c r="E28" s="719" t="s">
        <v>603</v>
      </c>
      <c r="F28" s="719" t="s">
        <v>630</v>
      </c>
      <c r="G28" s="719" t="s">
        <v>605</v>
      </c>
      <c r="H28" s="709" t="s">
        <v>631</v>
      </c>
    </row>
    <row r="29" spans="2:8" ht="15" customHeight="1">
      <c r="B29" s="431" t="s">
        <v>632</v>
      </c>
      <c r="C29" s="720"/>
      <c r="D29" s="720"/>
      <c r="E29" s="721" t="s">
        <v>69</v>
      </c>
      <c r="F29" s="728">
        <v>2.5548000000000002</v>
      </c>
      <c r="G29" s="712">
        <v>258.23</v>
      </c>
      <c r="H29" s="723">
        <f>F29*G29</f>
        <v>659.7260040000001</v>
      </c>
    </row>
    <row r="30" spans="2:8" ht="15" customHeight="1">
      <c r="B30" s="431"/>
      <c r="C30" s="720"/>
      <c r="D30" s="720"/>
      <c r="E30" s="724"/>
      <c r="F30" s="729"/>
      <c r="G30" s="729"/>
      <c r="H30" s="723"/>
    </row>
    <row r="31" spans="2:8" ht="15" customHeight="1">
      <c r="B31" s="714"/>
      <c r="C31" s="715"/>
      <c r="D31" s="715"/>
      <c r="E31" s="715"/>
      <c r="F31" s="715"/>
      <c r="G31" s="716" t="s">
        <v>633</v>
      </c>
      <c r="H31" s="726">
        <f>SUM(H29:H30)</f>
        <v>659.7260040000001</v>
      </c>
    </row>
    <row r="32" spans="2:8" ht="15" customHeight="1" thickBot="1">
      <c r="B32" s="730" t="s">
        <v>634</v>
      </c>
      <c r="C32" s="731"/>
      <c r="D32" s="731"/>
      <c r="E32" s="731"/>
      <c r="F32" s="731"/>
      <c r="G32" s="731"/>
      <c r="H32" s="732">
        <f>H26+H31</f>
        <v>744.88730500000008</v>
      </c>
    </row>
    <row r="34" spans="2:18">
      <c r="B34" s="701" t="s">
        <v>8</v>
      </c>
    </row>
    <row r="46" spans="2:18">
      <c r="R46" s="701" t="s">
        <v>8</v>
      </c>
    </row>
  </sheetData>
  <sheetProtection selectLockedCells="1" selectUnlockedCells="1"/>
  <mergeCells count="14">
    <mergeCell ref="B2:H2"/>
    <mergeCell ref="B3:H3"/>
    <mergeCell ref="B13:D13"/>
    <mergeCell ref="B14:D14"/>
    <mergeCell ref="B15:D15"/>
    <mergeCell ref="G8:G9"/>
    <mergeCell ref="B16:D16"/>
    <mergeCell ref="B17:D17"/>
    <mergeCell ref="B18:D18"/>
    <mergeCell ref="E8:E9"/>
    <mergeCell ref="F8:F9"/>
    <mergeCell ref="B10:D10"/>
    <mergeCell ref="B11:D11"/>
    <mergeCell ref="B12:D12"/>
  </mergeCells>
  <printOptions horizontalCentered="1"/>
  <pageMargins left="0.98425196850393704" right="1.1811023622047245" top="1.1811023622047245" bottom="0.78740157480314965" header="0.31496062992125984" footer="0.31496062992125984"/>
  <pageSetup paperSize="9" scale="75" orientation="landscape" horizontalDpi="1200" verticalDpi="1200" r:id="rId1"/>
</worksheet>
</file>

<file path=xl/worksheets/sheet6.xml><?xml version="1.0" encoding="utf-8"?>
<worksheet xmlns="http://schemas.openxmlformats.org/spreadsheetml/2006/main" xmlns:r="http://schemas.openxmlformats.org/officeDocument/2006/relationships">
  <sheetPr>
    <pageSetUpPr fitToPage="1"/>
  </sheetPr>
  <dimension ref="B1:T39"/>
  <sheetViews>
    <sheetView zoomScale="90" zoomScaleNormal="90" workbookViewId="0">
      <selection activeCell="D42" sqref="D42"/>
    </sheetView>
  </sheetViews>
  <sheetFormatPr defaultRowHeight="14.85" customHeight="1"/>
  <cols>
    <col min="1" max="1" width="9.140625" style="311"/>
    <col min="2" max="2" width="8" style="311" customWidth="1"/>
    <col min="3" max="3" width="62.7109375" style="311" customWidth="1"/>
    <col min="4" max="4" width="5.7109375" style="311" customWidth="1"/>
    <col min="5" max="5" width="4.28515625" style="311" customWidth="1"/>
    <col min="6" max="6" width="8" style="311" customWidth="1"/>
    <col min="7" max="7" width="14.5703125" style="88" customWidth="1"/>
    <col min="8" max="8" width="8.28515625" style="311" customWidth="1"/>
    <col min="9" max="9" width="22" style="311" customWidth="1"/>
    <col min="10" max="10" width="21.5703125" style="88" customWidth="1"/>
    <col min="11" max="11" width="19.140625" style="88" customWidth="1"/>
    <col min="12" max="12" width="9.140625" style="311"/>
    <col min="13" max="13" width="8.85546875" style="311" customWidth="1"/>
    <col min="14" max="14" width="9.140625" style="311"/>
    <col min="15" max="16" width="9.28515625" style="311" customWidth="1"/>
    <col min="17" max="257" width="9.140625" style="311"/>
    <col min="258" max="258" width="8" style="311" customWidth="1"/>
    <col min="259" max="259" width="62.7109375" style="311" customWidth="1"/>
    <col min="260" max="260" width="5.7109375" style="311" customWidth="1"/>
    <col min="261" max="261" width="4.28515625" style="311" customWidth="1"/>
    <col min="262" max="262" width="8" style="311" customWidth="1"/>
    <col min="263" max="263" width="14.5703125" style="311" customWidth="1"/>
    <col min="264" max="264" width="8.28515625" style="311" customWidth="1"/>
    <col min="265" max="265" width="22" style="311" customWidth="1"/>
    <col min="266" max="266" width="21.5703125" style="311" customWidth="1"/>
    <col min="267" max="267" width="19.140625" style="311" customWidth="1"/>
    <col min="268" max="268" width="9.140625" style="311"/>
    <col min="269" max="269" width="8.85546875" style="311" customWidth="1"/>
    <col min="270" max="270" width="9.140625" style="311"/>
    <col min="271" max="272" width="9.28515625" style="311" customWidth="1"/>
    <col min="273" max="513" width="9.140625" style="311"/>
    <col min="514" max="514" width="8" style="311" customWidth="1"/>
    <col min="515" max="515" width="62.7109375" style="311" customWidth="1"/>
    <col min="516" max="516" width="5.7109375" style="311" customWidth="1"/>
    <col min="517" max="517" width="4.28515625" style="311" customWidth="1"/>
    <col min="518" max="518" width="8" style="311" customWidth="1"/>
    <col min="519" max="519" width="14.5703125" style="311" customWidth="1"/>
    <col min="520" max="520" width="8.28515625" style="311" customWidth="1"/>
    <col min="521" max="521" width="22" style="311" customWidth="1"/>
    <col min="522" max="522" width="21.5703125" style="311" customWidth="1"/>
    <col min="523" max="523" width="19.140625" style="311" customWidth="1"/>
    <col min="524" max="524" width="9.140625" style="311"/>
    <col min="525" max="525" width="8.85546875" style="311" customWidth="1"/>
    <col min="526" max="526" width="9.140625" style="311"/>
    <col min="527" max="528" width="9.28515625" style="311" customWidth="1"/>
    <col min="529" max="769" width="9.140625" style="311"/>
    <col min="770" max="770" width="8" style="311" customWidth="1"/>
    <col min="771" max="771" width="62.7109375" style="311" customWidth="1"/>
    <col min="772" max="772" width="5.7109375" style="311" customWidth="1"/>
    <col min="773" max="773" width="4.28515625" style="311" customWidth="1"/>
    <col min="774" max="774" width="8" style="311" customWidth="1"/>
    <col min="775" max="775" width="14.5703125" style="311" customWidth="1"/>
    <col min="776" max="776" width="8.28515625" style="311" customWidth="1"/>
    <col min="777" max="777" width="22" style="311" customWidth="1"/>
    <col min="778" max="778" width="21.5703125" style="311" customWidth="1"/>
    <col min="779" max="779" width="19.140625" style="311" customWidth="1"/>
    <col min="780" max="780" width="9.140625" style="311"/>
    <col min="781" max="781" width="8.85546875" style="311" customWidth="1"/>
    <col min="782" max="782" width="9.140625" style="311"/>
    <col min="783" max="784" width="9.28515625" style="311" customWidth="1"/>
    <col min="785" max="1025" width="9.140625" style="311"/>
    <col min="1026" max="1026" width="8" style="311" customWidth="1"/>
    <col min="1027" max="1027" width="62.7109375" style="311" customWidth="1"/>
    <col min="1028" max="1028" width="5.7109375" style="311" customWidth="1"/>
    <col min="1029" max="1029" width="4.28515625" style="311" customWidth="1"/>
    <col min="1030" max="1030" width="8" style="311" customWidth="1"/>
    <col min="1031" max="1031" width="14.5703125" style="311" customWidth="1"/>
    <col min="1032" max="1032" width="8.28515625" style="311" customWidth="1"/>
    <col min="1033" max="1033" width="22" style="311" customWidth="1"/>
    <col min="1034" max="1034" width="21.5703125" style="311" customWidth="1"/>
    <col min="1035" max="1035" width="19.140625" style="311" customWidth="1"/>
    <col min="1036" max="1036" width="9.140625" style="311"/>
    <col min="1037" max="1037" width="8.85546875" style="311" customWidth="1"/>
    <col min="1038" max="1038" width="9.140625" style="311"/>
    <col min="1039" max="1040" width="9.28515625" style="311" customWidth="1"/>
    <col min="1041" max="1281" width="9.140625" style="311"/>
    <col min="1282" max="1282" width="8" style="311" customWidth="1"/>
    <col min="1283" max="1283" width="62.7109375" style="311" customWidth="1"/>
    <col min="1284" max="1284" width="5.7109375" style="311" customWidth="1"/>
    <col min="1285" max="1285" width="4.28515625" style="311" customWidth="1"/>
    <col min="1286" max="1286" width="8" style="311" customWidth="1"/>
    <col min="1287" max="1287" width="14.5703125" style="311" customWidth="1"/>
    <col min="1288" max="1288" width="8.28515625" style="311" customWidth="1"/>
    <col min="1289" max="1289" width="22" style="311" customWidth="1"/>
    <col min="1290" max="1290" width="21.5703125" style="311" customWidth="1"/>
    <col min="1291" max="1291" width="19.140625" style="311" customWidth="1"/>
    <col min="1292" max="1292" width="9.140625" style="311"/>
    <col min="1293" max="1293" width="8.85546875" style="311" customWidth="1"/>
    <col min="1294" max="1294" width="9.140625" style="311"/>
    <col min="1295" max="1296" width="9.28515625" style="311" customWidth="1"/>
    <col min="1297" max="1537" width="9.140625" style="311"/>
    <col min="1538" max="1538" width="8" style="311" customWidth="1"/>
    <col min="1539" max="1539" width="62.7109375" style="311" customWidth="1"/>
    <col min="1540" max="1540" width="5.7109375" style="311" customWidth="1"/>
    <col min="1541" max="1541" width="4.28515625" style="311" customWidth="1"/>
    <col min="1542" max="1542" width="8" style="311" customWidth="1"/>
    <col min="1543" max="1543" width="14.5703125" style="311" customWidth="1"/>
    <col min="1544" max="1544" width="8.28515625" style="311" customWidth="1"/>
    <col min="1545" max="1545" width="22" style="311" customWidth="1"/>
    <col min="1546" max="1546" width="21.5703125" style="311" customWidth="1"/>
    <col min="1547" max="1547" width="19.140625" style="311" customWidth="1"/>
    <col min="1548" max="1548" width="9.140625" style="311"/>
    <col min="1549" max="1549" width="8.85546875" style="311" customWidth="1"/>
    <col min="1550" max="1550" width="9.140625" style="311"/>
    <col min="1551" max="1552" width="9.28515625" style="311" customWidth="1"/>
    <col min="1553" max="1793" width="9.140625" style="311"/>
    <col min="1794" max="1794" width="8" style="311" customWidth="1"/>
    <col min="1795" max="1795" width="62.7109375" style="311" customWidth="1"/>
    <col min="1796" max="1796" width="5.7109375" style="311" customWidth="1"/>
    <col min="1797" max="1797" width="4.28515625" style="311" customWidth="1"/>
    <col min="1798" max="1798" width="8" style="311" customWidth="1"/>
    <col min="1799" max="1799" width="14.5703125" style="311" customWidth="1"/>
    <col min="1800" max="1800" width="8.28515625" style="311" customWidth="1"/>
    <col min="1801" max="1801" width="22" style="311" customWidth="1"/>
    <col min="1802" max="1802" width="21.5703125" style="311" customWidth="1"/>
    <col min="1803" max="1803" width="19.140625" style="311" customWidth="1"/>
    <col min="1804" max="1804" width="9.140625" style="311"/>
    <col min="1805" max="1805" width="8.85546875" style="311" customWidth="1"/>
    <col min="1806" max="1806" width="9.140625" style="311"/>
    <col min="1807" max="1808" width="9.28515625" style="311" customWidth="1"/>
    <col min="1809" max="2049" width="9.140625" style="311"/>
    <col min="2050" max="2050" width="8" style="311" customWidth="1"/>
    <col min="2051" max="2051" width="62.7109375" style="311" customWidth="1"/>
    <col min="2052" max="2052" width="5.7109375" style="311" customWidth="1"/>
    <col min="2053" max="2053" width="4.28515625" style="311" customWidth="1"/>
    <col min="2054" max="2054" width="8" style="311" customWidth="1"/>
    <col min="2055" max="2055" width="14.5703125" style="311" customWidth="1"/>
    <col min="2056" max="2056" width="8.28515625" style="311" customWidth="1"/>
    <col min="2057" max="2057" width="22" style="311" customWidth="1"/>
    <col min="2058" max="2058" width="21.5703125" style="311" customWidth="1"/>
    <col min="2059" max="2059" width="19.140625" style="311" customWidth="1"/>
    <col min="2060" max="2060" width="9.140625" style="311"/>
    <col min="2061" max="2061" width="8.85546875" style="311" customWidth="1"/>
    <col min="2062" max="2062" width="9.140625" style="311"/>
    <col min="2063" max="2064" width="9.28515625" style="311" customWidth="1"/>
    <col min="2065" max="2305" width="9.140625" style="311"/>
    <col min="2306" max="2306" width="8" style="311" customWidth="1"/>
    <col min="2307" max="2307" width="62.7109375" style="311" customWidth="1"/>
    <col min="2308" max="2308" width="5.7109375" style="311" customWidth="1"/>
    <col min="2309" max="2309" width="4.28515625" style="311" customWidth="1"/>
    <col min="2310" max="2310" width="8" style="311" customWidth="1"/>
    <col min="2311" max="2311" width="14.5703125" style="311" customWidth="1"/>
    <col min="2312" max="2312" width="8.28515625" style="311" customWidth="1"/>
    <col min="2313" max="2313" width="22" style="311" customWidth="1"/>
    <col min="2314" max="2314" width="21.5703125" style="311" customWidth="1"/>
    <col min="2315" max="2315" width="19.140625" style="311" customWidth="1"/>
    <col min="2316" max="2316" width="9.140625" style="311"/>
    <col min="2317" max="2317" width="8.85546875" style="311" customWidth="1"/>
    <col min="2318" max="2318" width="9.140625" style="311"/>
    <col min="2319" max="2320" width="9.28515625" style="311" customWidth="1"/>
    <col min="2321" max="2561" width="9.140625" style="311"/>
    <col min="2562" max="2562" width="8" style="311" customWidth="1"/>
    <col min="2563" max="2563" width="62.7109375" style="311" customWidth="1"/>
    <col min="2564" max="2564" width="5.7109375" style="311" customWidth="1"/>
    <col min="2565" max="2565" width="4.28515625" style="311" customWidth="1"/>
    <col min="2566" max="2566" width="8" style="311" customWidth="1"/>
    <col min="2567" max="2567" width="14.5703125" style="311" customWidth="1"/>
    <col min="2568" max="2568" width="8.28515625" style="311" customWidth="1"/>
    <col min="2569" max="2569" width="22" style="311" customWidth="1"/>
    <col min="2570" max="2570" width="21.5703125" style="311" customWidth="1"/>
    <col min="2571" max="2571" width="19.140625" style="311" customWidth="1"/>
    <col min="2572" max="2572" width="9.140625" style="311"/>
    <col min="2573" max="2573" width="8.85546875" style="311" customWidth="1"/>
    <col min="2574" max="2574" width="9.140625" style="311"/>
    <col min="2575" max="2576" width="9.28515625" style="311" customWidth="1"/>
    <col min="2577" max="2817" width="9.140625" style="311"/>
    <col min="2818" max="2818" width="8" style="311" customWidth="1"/>
    <col min="2819" max="2819" width="62.7109375" style="311" customWidth="1"/>
    <col min="2820" max="2820" width="5.7109375" style="311" customWidth="1"/>
    <col min="2821" max="2821" width="4.28515625" style="311" customWidth="1"/>
    <col min="2822" max="2822" width="8" style="311" customWidth="1"/>
    <col min="2823" max="2823" width="14.5703125" style="311" customWidth="1"/>
    <col min="2824" max="2824" width="8.28515625" style="311" customWidth="1"/>
    <col min="2825" max="2825" width="22" style="311" customWidth="1"/>
    <col min="2826" max="2826" width="21.5703125" style="311" customWidth="1"/>
    <col min="2827" max="2827" width="19.140625" style="311" customWidth="1"/>
    <col min="2828" max="2828" width="9.140625" style="311"/>
    <col min="2829" max="2829" width="8.85546875" style="311" customWidth="1"/>
    <col min="2830" max="2830" width="9.140625" style="311"/>
    <col min="2831" max="2832" width="9.28515625" style="311" customWidth="1"/>
    <col min="2833" max="3073" width="9.140625" style="311"/>
    <col min="3074" max="3074" width="8" style="311" customWidth="1"/>
    <col min="3075" max="3075" width="62.7109375" style="311" customWidth="1"/>
    <col min="3076" max="3076" width="5.7109375" style="311" customWidth="1"/>
    <col min="3077" max="3077" width="4.28515625" style="311" customWidth="1"/>
    <col min="3078" max="3078" width="8" style="311" customWidth="1"/>
    <col min="3079" max="3079" width="14.5703125" style="311" customWidth="1"/>
    <col min="3080" max="3080" width="8.28515625" style="311" customWidth="1"/>
    <col min="3081" max="3081" width="22" style="311" customWidth="1"/>
    <col min="3082" max="3082" width="21.5703125" style="311" customWidth="1"/>
    <col min="3083" max="3083" width="19.140625" style="311" customWidth="1"/>
    <col min="3084" max="3084" width="9.140625" style="311"/>
    <col min="3085" max="3085" width="8.85546875" style="311" customWidth="1"/>
    <col min="3086" max="3086" width="9.140625" style="311"/>
    <col min="3087" max="3088" width="9.28515625" style="311" customWidth="1"/>
    <col min="3089" max="3329" width="9.140625" style="311"/>
    <col min="3330" max="3330" width="8" style="311" customWidth="1"/>
    <col min="3331" max="3331" width="62.7109375" style="311" customWidth="1"/>
    <col min="3332" max="3332" width="5.7109375" style="311" customWidth="1"/>
    <col min="3333" max="3333" width="4.28515625" style="311" customWidth="1"/>
    <col min="3334" max="3334" width="8" style="311" customWidth="1"/>
    <col min="3335" max="3335" width="14.5703125" style="311" customWidth="1"/>
    <col min="3336" max="3336" width="8.28515625" style="311" customWidth="1"/>
    <col min="3337" max="3337" width="22" style="311" customWidth="1"/>
    <col min="3338" max="3338" width="21.5703125" style="311" customWidth="1"/>
    <col min="3339" max="3339" width="19.140625" style="311" customWidth="1"/>
    <col min="3340" max="3340" width="9.140625" style="311"/>
    <col min="3341" max="3341" width="8.85546875" style="311" customWidth="1"/>
    <col min="3342" max="3342" width="9.140625" style="311"/>
    <col min="3343" max="3344" width="9.28515625" style="311" customWidth="1"/>
    <col min="3345" max="3585" width="9.140625" style="311"/>
    <col min="3586" max="3586" width="8" style="311" customWidth="1"/>
    <col min="3587" max="3587" width="62.7109375" style="311" customWidth="1"/>
    <col min="3588" max="3588" width="5.7109375" style="311" customWidth="1"/>
    <col min="3589" max="3589" width="4.28515625" style="311" customWidth="1"/>
    <col min="3590" max="3590" width="8" style="311" customWidth="1"/>
    <col min="3591" max="3591" width="14.5703125" style="311" customWidth="1"/>
    <col min="3592" max="3592" width="8.28515625" style="311" customWidth="1"/>
    <col min="3593" max="3593" width="22" style="311" customWidth="1"/>
    <col min="3594" max="3594" width="21.5703125" style="311" customWidth="1"/>
    <col min="3595" max="3595" width="19.140625" style="311" customWidth="1"/>
    <col min="3596" max="3596" width="9.140625" style="311"/>
    <col min="3597" max="3597" width="8.85546875" style="311" customWidth="1"/>
    <col min="3598" max="3598" width="9.140625" style="311"/>
    <col min="3599" max="3600" width="9.28515625" style="311" customWidth="1"/>
    <col min="3601" max="3841" width="9.140625" style="311"/>
    <col min="3842" max="3842" width="8" style="311" customWidth="1"/>
    <col min="3843" max="3843" width="62.7109375" style="311" customWidth="1"/>
    <col min="3844" max="3844" width="5.7109375" style="311" customWidth="1"/>
    <col min="3845" max="3845" width="4.28515625" style="311" customWidth="1"/>
    <col min="3846" max="3846" width="8" style="311" customWidth="1"/>
    <col min="3847" max="3847" width="14.5703125" style="311" customWidth="1"/>
    <col min="3848" max="3848" width="8.28515625" style="311" customWidth="1"/>
    <col min="3849" max="3849" width="22" style="311" customWidth="1"/>
    <col min="3850" max="3850" width="21.5703125" style="311" customWidth="1"/>
    <col min="3851" max="3851" width="19.140625" style="311" customWidth="1"/>
    <col min="3852" max="3852" width="9.140625" style="311"/>
    <col min="3853" max="3853" width="8.85546875" style="311" customWidth="1"/>
    <col min="3854" max="3854" width="9.140625" style="311"/>
    <col min="3855" max="3856" width="9.28515625" style="311" customWidth="1"/>
    <col min="3857" max="4097" width="9.140625" style="311"/>
    <col min="4098" max="4098" width="8" style="311" customWidth="1"/>
    <col min="4099" max="4099" width="62.7109375" style="311" customWidth="1"/>
    <col min="4100" max="4100" width="5.7109375" style="311" customWidth="1"/>
    <col min="4101" max="4101" width="4.28515625" style="311" customWidth="1"/>
    <col min="4102" max="4102" width="8" style="311" customWidth="1"/>
    <col min="4103" max="4103" width="14.5703125" style="311" customWidth="1"/>
    <col min="4104" max="4104" width="8.28515625" style="311" customWidth="1"/>
    <col min="4105" max="4105" width="22" style="311" customWidth="1"/>
    <col min="4106" max="4106" width="21.5703125" style="311" customWidth="1"/>
    <col min="4107" max="4107" width="19.140625" style="311" customWidth="1"/>
    <col min="4108" max="4108" width="9.140625" style="311"/>
    <col min="4109" max="4109" width="8.85546875" style="311" customWidth="1"/>
    <col min="4110" max="4110" width="9.140625" style="311"/>
    <col min="4111" max="4112" width="9.28515625" style="311" customWidth="1"/>
    <col min="4113" max="4353" width="9.140625" style="311"/>
    <col min="4354" max="4354" width="8" style="311" customWidth="1"/>
    <col min="4355" max="4355" width="62.7109375" style="311" customWidth="1"/>
    <col min="4356" max="4356" width="5.7109375" style="311" customWidth="1"/>
    <col min="4357" max="4357" width="4.28515625" style="311" customWidth="1"/>
    <col min="4358" max="4358" width="8" style="311" customWidth="1"/>
    <col min="4359" max="4359" width="14.5703125" style="311" customWidth="1"/>
    <col min="4360" max="4360" width="8.28515625" style="311" customWidth="1"/>
    <col min="4361" max="4361" width="22" style="311" customWidth="1"/>
    <col min="4362" max="4362" width="21.5703125" style="311" customWidth="1"/>
    <col min="4363" max="4363" width="19.140625" style="311" customWidth="1"/>
    <col min="4364" max="4364" width="9.140625" style="311"/>
    <col min="4365" max="4365" width="8.85546875" style="311" customWidth="1"/>
    <col min="4366" max="4366" width="9.140625" style="311"/>
    <col min="4367" max="4368" width="9.28515625" style="311" customWidth="1"/>
    <col min="4369" max="4609" width="9.140625" style="311"/>
    <col min="4610" max="4610" width="8" style="311" customWidth="1"/>
    <col min="4611" max="4611" width="62.7109375" style="311" customWidth="1"/>
    <col min="4612" max="4612" width="5.7109375" style="311" customWidth="1"/>
    <col min="4613" max="4613" width="4.28515625" style="311" customWidth="1"/>
    <col min="4614" max="4614" width="8" style="311" customWidth="1"/>
    <col min="4615" max="4615" width="14.5703125" style="311" customWidth="1"/>
    <col min="4616" max="4616" width="8.28515625" style="311" customWidth="1"/>
    <col min="4617" max="4617" width="22" style="311" customWidth="1"/>
    <col min="4618" max="4618" width="21.5703125" style="311" customWidth="1"/>
    <col min="4619" max="4619" width="19.140625" style="311" customWidth="1"/>
    <col min="4620" max="4620" width="9.140625" style="311"/>
    <col min="4621" max="4621" width="8.85546875" style="311" customWidth="1"/>
    <col min="4622" max="4622" width="9.140625" style="311"/>
    <col min="4623" max="4624" width="9.28515625" style="311" customWidth="1"/>
    <col min="4625" max="4865" width="9.140625" style="311"/>
    <col min="4866" max="4866" width="8" style="311" customWidth="1"/>
    <col min="4867" max="4867" width="62.7109375" style="311" customWidth="1"/>
    <col min="4868" max="4868" width="5.7109375" style="311" customWidth="1"/>
    <col min="4869" max="4869" width="4.28515625" style="311" customWidth="1"/>
    <col min="4870" max="4870" width="8" style="311" customWidth="1"/>
    <col min="4871" max="4871" width="14.5703125" style="311" customWidth="1"/>
    <col min="4872" max="4872" width="8.28515625" style="311" customWidth="1"/>
    <col min="4873" max="4873" width="22" style="311" customWidth="1"/>
    <col min="4874" max="4874" width="21.5703125" style="311" customWidth="1"/>
    <col min="4875" max="4875" width="19.140625" style="311" customWidth="1"/>
    <col min="4876" max="4876" width="9.140625" style="311"/>
    <col min="4877" max="4877" width="8.85546875" style="311" customWidth="1"/>
    <col min="4878" max="4878" width="9.140625" style="311"/>
    <col min="4879" max="4880" width="9.28515625" style="311" customWidth="1"/>
    <col min="4881" max="5121" width="9.140625" style="311"/>
    <col min="5122" max="5122" width="8" style="311" customWidth="1"/>
    <col min="5123" max="5123" width="62.7109375" style="311" customWidth="1"/>
    <col min="5124" max="5124" width="5.7109375" style="311" customWidth="1"/>
    <col min="5125" max="5125" width="4.28515625" style="311" customWidth="1"/>
    <col min="5126" max="5126" width="8" style="311" customWidth="1"/>
    <col min="5127" max="5127" width="14.5703125" style="311" customWidth="1"/>
    <col min="5128" max="5128" width="8.28515625" style="311" customWidth="1"/>
    <col min="5129" max="5129" width="22" style="311" customWidth="1"/>
    <col min="5130" max="5130" width="21.5703125" style="311" customWidth="1"/>
    <col min="5131" max="5131" width="19.140625" style="311" customWidth="1"/>
    <col min="5132" max="5132" width="9.140625" style="311"/>
    <col min="5133" max="5133" width="8.85546875" style="311" customWidth="1"/>
    <col min="5134" max="5134" width="9.140625" style="311"/>
    <col min="5135" max="5136" width="9.28515625" style="311" customWidth="1"/>
    <col min="5137" max="5377" width="9.140625" style="311"/>
    <col min="5378" max="5378" width="8" style="311" customWidth="1"/>
    <col min="5379" max="5379" width="62.7109375" style="311" customWidth="1"/>
    <col min="5380" max="5380" width="5.7109375" style="311" customWidth="1"/>
    <col min="5381" max="5381" width="4.28515625" style="311" customWidth="1"/>
    <col min="5382" max="5382" width="8" style="311" customWidth="1"/>
    <col min="5383" max="5383" width="14.5703125" style="311" customWidth="1"/>
    <col min="5384" max="5384" width="8.28515625" style="311" customWidth="1"/>
    <col min="5385" max="5385" width="22" style="311" customWidth="1"/>
    <col min="5386" max="5386" width="21.5703125" style="311" customWidth="1"/>
    <col min="5387" max="5387" width="19.140625" style="311" customWidth="1"/>
    <col min="5388" max="5388" width="9.140625" style="311"/>
    <col min="5389" max="5389" width="8.85546875" style="311" customWidth="1"/>
    <col min="5390" max="5390" width="9.140625" style="311"/>
    <col min="5391" max="5392" width="9.28515625" style="311" customWidth="1"/>
    <col min="5393" max="5633" width="9.140625" style="311"/>
    <col min="5634" max="5634" width="8" style="311" customWidth="1"/>
    <col min="5635" max="5635" width="62.7109375" style="311" customWidth="1"/>
    <col min="5636" max="5636" width="5.7109375" style="311" customWidth="1"/>
    <col min="5637" max="5637" width="4.28515625" style="311" customWidth="1"/>
    <col min="5638" max="5638" width="8" style="311" customWidth="1"/>
    <col min="5639" max="5639" width="14.5703125" style="311" customWidth="1"/>
    <col min="5640" max="5640" width="8.28515625" style="311" customWidth="1"/>
    <col min="5641" max="5641" width="22" style="311" customWidth="1"/>
    <col min="5642" max="5642" width="21.5703125" style="311" customWidth="1"/>
    <col min="5643" max="5643" width="19.140625" style="311" customWidth="1"/>
    <col min="5644" max="5644" width="9.140625" style="311"/>
    <col min="5645" max="5645" width="8.85546875" style="311" customWidth="1"/>
    <col min="5646" max="5646" width="9.140625" style="311"/>
    <col min="5647" max="5648" width="9.28515625" style="311" customWidth="1"/>
    <col min="5649" max="5889" width="9.140625" style="311"/>
    <col min="5890" max="5890" width="8" style="311" customWidth="1"/>
    <col min="5891" max="5891" width="62.7109375" style="311" customWidth="1"/>
    <col min="5892" max="5892" width="5.7109375" style="311" customWidth="1"/>
    <col min="5893" max="5893" width="4.28515625" style="311" customWidth="1"/>
    <col min="5894" max="5894" width="8" style="311" customWidth="1"/>
    <col min="5895" max="5895" width="14.5703125" style="311" customWidth="1"/>
    <col min="5896" max="5896" width="8.28515625" style="311" customWidth="1"/>
    <col min="5897" max="5897" width="22" style="311" customWidth="1"/>
    <col min="5898" max="5898" width="21.5703125" style="311" customWidth="1"/>
    <col min="5899" max="5899" width="19.140625" style="311" customWidth="1"/>
    <col min="5900" max="5900" width="9.140625" style="311"/>
    <col min="5901" max="5901" width="8.85546875" style="311" customWidth="1"/>
    <col min="5902" max="5902" width="9.140625" style="311"/>
    <col min="5903" max="5904" width="9.28515625" style="311" customWidth="1"/>
    <col min="5905" max="6145" width="9.140625" style="311"/>
    <col min="6146" max="6146" width="8" style="311" customWidth="1"/>
    <col min="6147" max="6147" width="62.7109375" style="311" customWidth="1"/>
    <col min="6148" max="6148" width="5.7109375" style="311" customWidth="1"/>
    <col min="6149" max="6149" width="4.28515625" style="311" customWidth="1"/>
    <col min="6150" max="6150" width="8" style="311" customWidth="1"/>
    <col min="6151" max="6151" width="14.5703125" style="311" customWidth="1"/>
    <col min="6152" max="6152" width="8.28515625" style="311" customWidth="1"/>
    <col min="6153" max="6153" width="22" style="311" customWidth="1"/>
    <col min="6154" max="6154" width="21.5703125" style="311" customWidth="1"/>
    <col min="6155" max="6155" width="19.140625" style="311" customWidth="1"/>
    <col min="6156" max="6156" width="9.140625" style="311"/>
    <col min="6157" max="6157" width="8.85546875" style="311" customWidth="1"/>
    <col min="6158" max="6158" width="9.140625" style="311"/>
    <col min="6159" max="6160" width="9.28515625" style="311" customWidth="1"/>
    <col min="6161" max="6401" width="9.140625" style="311"/>
    <col min="6402" max="6402" width="8" style="311" customWidth="1"/>
    <col min="6403" max="6403" width="62.7109375" style="311" customWidth="1"/>
    <col min="6404" max="6404" width="5.7109375" style="311" customWidth="1"/>
    <col min="6405" max="6405" width="4.28515625" style="311" customWidth="1"/>
    <col min="6406" max="6406" width="8" style="311" customWidth="1"/>
    <col min="6407" max="6407" width="14.5703125" style="311" customWidth="1"/>
    <col min="6408" max="6408" width="8.28515625" style="311" customWidth="1"/>
    <col min="6409" max="6409" width="22" style="311" customWidth="1"/>
    <col min="6410" max="6410" width="21.5703125" style="311" customWidth="1"/>
    <col min="6411" max="6411" width="19.140625" style="311" customWidth="1"/>
    <col min="6412" max="6412" width="9.140625" style="311"/>
    <col min="6413" max="6413" width="8.85546875" style="311" customWidth="1"/>
    <col min="6414" max="6414" width="9.140625" style="311"/>
    <col min="6415" max="6416" width="9.28515625" style="311" customWidth="1"/>
    <col min="6417" max="6657" width="9.140625" style="311"/>
    <col min="6658" max="6658" width="8" style="311" customWidth="1"/>
    <col min="6659" max="6659" width="62.7109375" style="311" customWidth="1"/>
    <col min="6660" max="6660" width="5.7109375" style="311" customWidth="1"/>
    <col min="6661" max="6661" width="4.28515625" style="311" customWidth="1"/>
    <col min="6662" max="6662" width="8" style="311" customWidth="1"/>
    <col min="6663" max="6663" width="14.5703125" style="311" customWidth="1"/>
    <col min="6664" max="6664" width="8.28515625" style="311" customWidth="1"/>
    <col min="6665" max="6665" width="22" style="311" customWidth="1"/>
    <col min="6666" max="6666" width="21.5703125" style="311" customWidth="1"/>
    <col min="6667" max="6667" width="19.140625" style="311" customWidth="1"/>
    <col min="6668" max="6668" width="9.140625" style="311"/>
    <col min="6669" max="6669" width="8.85546875" style="311" customWidth="1"/>
    <col min="6670" max="6670" width="9.140625" style="311"/>
    <col min="6671" max="6672" width="9.28515625" style="311" customWidth="1"/>
    <col min="6673" max="6913" width="9.140625" style="311"/>
    <col min="6914" max="6914" width="8" style="311" customWidth="1"/>
    <col min="6915" max="6915" width="62.7109375" style="311" customWidth="1"/>
    <col min="6916" max="6916" width="5.7109375" style="311" customWidth="1"/>
    <col min="6917" max="6917" width="4.28515625" style="311" customWidth="1"/>
    <col min="6918" max="6918" width="8" style="311" customWidth="1"/>
    <col min="6919" max="6919" width="14.5703125" style="311" customWidth="1"/>
    <col min="6920" max="6920" width="8.28515625" style="311" customWidth="1"/>
    <col min="6921" max="6921" width="22" style="311" customWidth="1"/>
    <col min="6922" max="6922" width="21.5703125" style="311" customWidth="1"/>
    <col min="6923" max="6923" width="19.140625" style="311" customWidth="1"/>
    <col min="6924" max="6924" width="9.140625" style="311"/>
    <col min="6925" max="6925" width="8.85546875" style="311" customWidth="1"/>
    <col min="6926" max="6926" width="9.140625" style="311"/>
    <col min="6927" max="6928" width="9.28515625" style="311" customWidth="1"/>
    <col min="6929" max="7169" width="9.140625" style="311"/>
    <col min="7170" max="7170" width="8" style="311" customWidth="1"/>
    <col min="7171" max="7171" width="62.7109375" style="311" customWidth="1"/>
    <col min="7172" max="7172" width="5.7109375" style="311" customWidth="1"/>
    <col min="7173" max="7173" width="4.28515625" style="311" customWidth="1"/>
    <col min="7174" max="7174" width="8" style="311" customWidth="1"/>
    <col min="7175" max="7175" width="14.5703125" style="311" customWidth="1"/>
    <col min="7176" max="7176" width="8.28515625" style="311" customWidth="1"/>
    <col min="7177" max="7177" width="22" style="311" customWidth="1"/>
    <col min="7178" max="7178" width="21.5703125" style="311" customWidth="1"/>
    <col min="7179" max="7179" width="19.140625" style="311" customWidth="1"/>
    <col min="7180" max="7180" width="9.140625" style="311"/>
    <col min="7181" max="7181" width="8.85546875" style="311" customWidth="1"/>
    <col min="7182" max="7182" width="9.140625" style="311"/>
    <col min="7183" max="7184" width="9.28515625" style="311" customWidth="1"/>
    <col min="7185" max="7425" width="9.140625" style="311"/>
    <col min="7426" max="7426" width="8" style="311" customWidth="1"/>
    <col min="7427" max="7427" width="62.7109375" style="311" customWidth="1"/>
    <col min="7428" max="7428" width="5.7109375" style="311" customWidth="1"/>
    <col min="7429" max="7429" width="4.28515625" style="311" customWidth="1"/>
    <col min="7430" max="7430" width="8" style="311" customWidth="1"/>
    <col min="7431" max="7431" width="14.5703125" style="311" customWidth="1"/>
    <col min="7432" max="7432" width="8.28515625" style="311" customWidth="1"/>
    <col min="7433" max="7433" width="22" style="311" customWidth="1"/>
    <col min="7434" max="7434" width="21.5703125" style="311" customWidth="1"/>
    <col min="7435" max="7435" width="19.140625" style="311" customWidth="1"/>
    <col min="7436" max="7436" width="9.140625" style="311"/>
    <col min="7437" max="7437" width="8.85546875" style="311" customWidth="1"/>
    <col min="7438" max="7438" width="9.140625" style="311"/>
    <col min="7439" max="7440" width="9.28515625" style="311" customWidth="1"/>
    <col min="7441" max="7681" width="9.140625" style="311"/>
    <col min="7682" max="7682" width="8" style="311" customWidth="1"/>
    <col min="7683" max="7683" width="62.7109375" style="311" customWidth="1"/>
    <col min="7684" max="7684" width="5.7109375" style="311" customWidth="1"/>
    <col min="7685" max="7685" width="4.28515625" style="311" customWidth="1"/>
    <col min="7686" max="7686" width="8" style="311" customWidth="1"/>
    <col min="7687" max="7687" width="14.5703125" style="311" customWidth="1"/>
    <col min="7688" max="7688" width="8.28515625" style="311" customWidth="1"/>
    <col min="7689" max="7689" width="22" style="311" customWidth="1"/>
    <col min="7690" max="7690" width="21.5703125" style="311" customWidth="1"/>
    <col min="7691" max="7691" width="19.140625" style="311" customWidth="1"/>
    <col min="7692" max="7692" width="9.140625" style="311"/>
    <col min="7693" max="7693" width="8.85546875" style="311" customWidth="1"/>
    <col min="7694" max="7694" width="9.140625" style="311"/>
    <col min="7695" max="7696" width="9.28515625" style="311" customWidth="1"/>
    <col min="7697" max="7937" width="9.140625" style="311"/>
    <col min="7938" max="7938" width="8" style="311" customWidth="1"/>
    <col min="7939" max="7939" width="62.7109375" style="311" customWidth="1"/>
    <col min="7940" max="7940" width="5.7109375" style="311" customWidth="1"/>
    <col min="7941" max="7941" width="4.28515625" style="311" customWidth="1"/>
    <col min="7942" max="7942" width="8" style="311" customWidth="1"/>
    <col min="7943" max="7943" width="14.5703125" style="311" customWidth="1"/>
    <col min="7944" max="7944" width="8.28515625" style="311" customWidth="1"/>
    <col min="7945" max="7945" width="22" style="311" customWidth="1"/>
    <col min="7946" max="7946" width="21.5703125" style="311" customWidth="1"/>
    <col min="7947" max="7947" width="19.140625" style="311" customWidth="1"/>
    <col min="7948" max="7948" width="9.140625" style="311"/>
    <col min="7949" max="7949" width="8.85546875" style="311" customWidth="1"/>
    <col min="7950" max="7950" width="9.140625" style="311"/>
    <col min="7951" max="7952" width="9.28515625" style="311" customWidth="1"/>
    <col min="7953" max="8193" width="9.140625" style="311"/>
    <col min="8194" max="8194" width="8" style="311" customWidth="1"/>
    <col min="8195" max="8195" width="62.7109375" style="311" customWidth="1"/>
    <col min="8196" max="8196" width="5.7109375" style="311" customWidth="1"/>
    <col min="8197" max="8197" width="4.28515625" style="311" customWidth="1"/>
    <col min="8198" max="8198" width="8" style="311" customWidth="1"/>
    <col min="8199" max="8199" width="14.5703125" style="311" customWidth="1"/>
    <col min="8200" max="8200" width="8.28515625" style="311" customWidth="1"/>
    <col min="8201" max="8201" width="22" style="311" customWidth="1"/>
    <col min="8202" max="8202" width="21.5703125" style="311" customWidth="1"/>
    <col min="8203" max="8203" width="19.140625" style="311" customWidth="1"/>
    <col min="8204" max="8204" width="9.140625" style="311"/>
    <col min="8205" max="8205" width="8.85546875" style="311" customWidth="1"/>
    <col min="8206" max="8206" width="9.140625" style="311"/>
    <col min="8207" max="8208" width="9.28515625" style="311" customWidth="1"/>
    <col min="8209" max="8449" width="9.140625" style="311"/>
    <col min="8450" max="8450" width="8" style="311" customWidth="1"/>
    <col min="8451" max="8451" width="62.7109375" style="311" customWidth="1"/>
    <col min="8452" max="8452" width="5.7109375" style="311" customWidth="1"/>
    <col min="8453" max="8453" width="4.28515625" style="311" customWidth="1"/>
    <col min="8454" max="8454" width="8" style="311" customWidth="1"/>
    <col min="8455" max="8455" width="14.5703125" style="311" customWidth="1"/>
    <col min="8456" max="8456" width="8.28515625" style="311" customWidth="1"/>
    <col min="8457" max="8457" width="22" style="311" customWidth="1"/>
    <col min="8458" max="8458" width="21.5703125" style="311" customWidth="1"/>
    <col min="8459" max="8459" width="19.140625" style="311" customWidth="1"/>
    <col min="8460" max="8460" width="9.140625" style="311"/>
    <col min="8461" max="8461" width="8.85546875" style="311" customWidth="1"/>
    <col min="8462" max="8462" width="9.140625" style="311"/>
    <col min="8463" max="8464" width="9.28515625" style="311" customWidth="1"/>
    <col min="8465" max="8705" width="9.140625" style="311"/>
    <col min="8706" max="8706" width="8" style="311" customWidth="1"/>
    <col min="8707" max="8707" width="62.7109375" style="311" customWidth="1"/>
    <col min="8708" max="8708" width="5.7109375" style="311" customWidth="1"/>
    <col min="8709" max="8709" width="4.28515625" style="311" customWidth="1"/>
    <col min="8710" max="8710" width="8" style="311" customWidth="1"/>
    <col min="8711" max="8711" width="14.5703125" style="311" customWidth="1"/>
    <col min="8712" max="8712" width="8.28515625" style="311" customWidth="1"/>
    <col min="8713" max="8713" width="22" style="311" customWidth="1"/>
    <col min="8714" max="8714" width="21.5703125" style="311" customWidth="1"/>
    <col min="8715" max="8715" width="19.140625" style="311" customWidth="1"/>
    <col min="8716" max="8716" width="9.140625" style="311"/>
    <col min="8717" max="8717" width="8.85546875" style="311" customWidth="1"/>
    <col min="8718" max="8718" width="9.140625" style="311"/>
    <col min="8719" max="8720" width="9.28515625" style="311" customWidth="1"/>
    <col min="8721" max="8961" width="9.140625" style="311"/>
    <col min="8962" max="8962" width="8" style="311" customWidth="1"/>
    <col min="8963" max="8963" width="62.7109375" style="311" customWidth="1"/>
    <col min="8964" max="8964" width="5.7109375" style="311" customWidth="1"/>
    <col min="8965" max="8965" width="4.28515625" style="311" customWidth="1"/>
    <col min="8966" max="8966" width="8" style="311" customWidth="1"/>
    <col min="8967" max="8967" width="14.5703125" style="311" customWidth="1"/>
    <col min="8968" max="8968" width="8.28515625" style="311" customWidth="1"/>
    <col min="8969" max="8969" width="22" style="311" customWidth="1"/>
    <col min="8970" max="8970" width="21.5703125" style="311" customWidth="1"/>
    <col min="8971" max="8971" width="19.140625" style="311" customWidth="1"/>
    <col min="8972" max="8972" width="9.140625" style="311"/>
    <col min="8973" max="8973" width="8.85546875" style="311" customWidth="1"/>
    <col min="8974" max="8974" width="9.140625" style="311"/>
    <col min="8975" max="8976" width="9.28515625" style="311" customWidth="1"/>
    <col min="8977" max="9217" width="9.140625" style="311"/>
    <col min="9218" max="9218" width="8" style="311" customWidth="1"/>
    <col min="9219" max="9219" width="62.7109375" style="311" customWidth="1"/>
    <col min="9220" max="9220" width="5.7109375" style="311" customWidth="1"/>
    <col min="9221" max="9221" width="4.28515625" style="311" customWidth="1"/>
    <col min="9222" max="9222" width="8" style="311" customWidth="1"/>
    <col min="9223" max="9223" width="14.5703125" style="311" customWidth="1"/>
    <col min="9224" max="9224" width="8.28515625" style="311" customWidth="1"/>
    <col min="9225" max="9225" width="22" style="311" customWidth="1"/>
    <col min="9226" max="9226" width="21.5703125" style="311" customWidth="1"/>
    <col min="9227" max="9227" width="19.140625" style="311" customWidth="1"/>
    <col min="9228" max="9228" width="9.140625" style="311"/>
    <col min="9229" max="9229" width="8.85546875" style="311" customWidth="1"/>
    <col min="9230" max="9230" width="9.140625" style="311"/>
    <col min="9231" max="9232" width="9.28515625" style="311" customWidth="1"/>
    <col min="9233" max="9473" width="9.140625" style="311"/>
    <col min="9474" max="9474" width="8" style="311" customWidth="1"/>
    <col min="9475" max="9475" width="62.7109375" style="311" customWidth="1"/>
    <col min="9476" max="9476" width="5.7109375" style="311" customWidth="1"/>
    <col min="9477" max="9477" width="4.28515625" style="311" customWidth="1"/>
    <col min="9478" max="9478" width="8" style="311" customWidth="1"/>
    <col min="9479" max="9479" width="14.5703125" style="311" customWidth="1"/>
    <col min="9480" max="9480" width="8.28515625" style="311" customWidth="1"/>
    <col min="9481" max="9481" width="22" style="311" customWidth="1"/>
    <col min="9482" max="9482" width="21.5703125" style="311" customWidth="1"/>
    <col min="9483" max="9483" width="19.140625" style="311" customWidth="1"/>
    <col min="9484" max="9484" width="9.140625" style="311"/>
    <col min="9485" max="9485" width="8.85546875" style="311" customWidth="1"/>
    <col min="9486" max="9486" width="9.140625" style="311"/>
    <col min="9487" max="9488" width="9.28515625" style="311" customWidth="1"/>
    <col min="9489" max="9729" width="9.140625" style="311"/>
    <col min="9730" max="9730" width="8" style="311" customWidth="1"/>
    <col min="9731" max="9731" width="62.7109375" style="311" customWidth="1"/>
    <col min="9732" max="9732" width="5.7109375" style="311" customWidth="1"/>
    <col min="9733" max="9733" width="4.28515625" style="311" customWidth="1"/>
    <col min="9734" max="9734" width="8" style="311" customWidth="1"/>
    <col min="9735" max="9735" width="14.5703125" style="311" customWidth="1"/>
    <col min="9736" max="9736" width="8.28515625" style="311" customWidth="1"/>
    <col min="9737" max="9737" width="22" style="311" customWidth="1"/>
    <col min="9738" max="9738" width="21.5703125" style="311" customWidth="1"/>
    <col min="9739" max="9739" width="19.140625" style="311" customWidth="1"/>
    <col min="9740" max="9740" width="9.140625" style="311"/>
    <col min="9741" max="9741" width="8.85546875" style="311" customWidth="1"/>
    <col min="9742" max="9742" width="9.140625" style="311"/>
    <col min="9743" max="9744" width="9.28515625" style="311" customWidth="1"/>
    <col min="9745" max="9985" width="9.140625" style="311"/>
    <col min="9986" max="9986" width="8" style="311" customWidth="1"/>
    <col min="9987" max="9987" width="62.7109375" style="311" customWidth="1"/>
    <col min="9988" max="9988" width="5.7109375" style="311" customWidth="1"/>
    <col min="9989" max="9989" width="4.28515625" style="311" customWidth="1"/>
    <col min="9990" max="9990" width="8" style="311" customWidth="1"/>
    <col min="9991" max="9991" width="14.5703125" style="311" customWidth="1"/>
    <col min="9992" max="9992" width="8.28515625" style="311" customWidth="1"/>
    <col min="9993" max="9993" width="22" style="311" customWidth="1"/>
    <col min="9994" max="9994" width="21.5703125" style="311" customWidth="1"/>
    <col min="9995" max="9995" width="19.140625" style="311" customWidth="1"/>
    <col min="9996" max="9996" width="9.140625" style="311"/>
    <col min="9997" max="9997" width="8.85546875" style="311" customWidth="1"/>
    <col min="9998" max="9998" width="9.140625" style="311"/>
    <col min="9999" max="10000" width="9.28515625" style="311" customWidth="1"/>
    <col min="10001" max="10241" width="9.140625" style="311"/>
    <col min="10242" max="10242" width="8" style="311" customWidth="1"/>
    <col min="10243" max="10243" width="62.7109375" style="311" customWidth="1"/>
    <col min="10244" max="10244" width="5.7109375" style="311" customWidth="1"/>
    <col min="10245" max="10245" width="4.28515625" style="311" customWidth="1"/>
    <col min="10246" max="10246" width="8" style="311" customWidth="1"/>
    <col min="10247" max="10247" width="14.5703125" style="311" customWidth="1"/>
    <col min="10248" max="10248" width="8.28515625" style="311" customWidth="1"/>
    <col min="10249" max="10249" width="22" style="311" customWidth="1"/>
    <col min="10250" max="10250" width="21.5703125" style="311" customWidth="1"/>
    <col min="10251" max="10251" width="19.140625" style="311" customWidth="1"/>
    <col min="10252" max="10252" width="9.140625" style="311"/>
    <col min="10253" max="10253" width="8.85546875" style="311" customWidth="1"/>
    <col min="10254" max="10254" width="9.140625" style="311"/>
    <col min="10255" max="10256" width="9.28515625" style="311" customWidth="1"/>
    <col min="10257" max="10497" width="9.140625" style="311"/>
    <col min="10498" max="10498" width="8" style="311" customWidth="1"/>
    <col min="10499" max="10499" width="62.7109375" style="311" customWidth="1"/>
    <col min="10500" max="10500" width="5.7109375" style="311" customWidth="1"/>
    <col min="10501" max="10501" width="4.28515625" style="311" customWidth="1"/>
    <col min="10502" max="10502" width="8" style="311" customWidth="1"/>
    <col min="10503" max="10503" width="14.5703125" style="311" customWidth="1"/>
    <col min="10504" max="10504" width="8.28515625" style="311" customWidth="1"/>
    <col min="10505" max="10505" width="22" style="311" customWidth="1"/>
    <col min="10506" max="10506" width="21.5703125" style="311" customWidth="1"/>
    <col min="10507" max="10507" width="19.140625" style="311" customWidth="1"/>
    <col min="10508" max="10508" width="9.140625" style="311"/>
    <col min="10509" max="10509" width="8.85546875" style="311" customWidth="1"/>
    <col min="10510" max="10510" width="9.140625" style="311"/>
    <col min="10511" max="10512" width="9.28515625" style="311" customWidth="1"/>
    <col min="10513" max="10753" width="9.140625" style="311"/>
    <col min="10754" max="10754" width="8" style="311" customWidth="1"/>
    <col min="10755" max="10755" width="62.7109375" style="311" customWidth="1"/>
    <col min="10756" max="10756" width="5.7109375" style="311" customWidth="1"/>
    <col min="10757" max="10757" width="4.28515625" style="311" customWidth="1"/>
    <col min="10758" max="10758" width="8" style="311" customWidth="1"/>
    <col min="10759" max="10759" width="14.5703125" style="311" customWidth="1"/>
    <col min="10760" max="10760" width="8.28515625" style="311" customWidth="1"/>
    <col min="10761" max="10761" width="22" style="311" customWidth="1"/>
    <col min="10762" max="10762" width="21.5703125" style="311" customWidth="1"/>
    <col min="10763" max="10763" width="19.140625" style="311" customWidth="1"/>
    <col min="10764" max="10764" width="9.140625" style="311"/>
    <col min="10765" max="10765" width="8.85546875" style="311" customWidth="1"/>
    <col min="10766" max="10766" width="9.140625" style="311"/>
    <col min="10767" max="10768" width="9.28515625" style="311" customWidth="1"/>
    <col min="10769" max="11009" width="9.140625" style="311"/>
    <col min="11010" max="11010" width="8" style="311" customWidth="1"/>
    <col min="11011" max="11011" width="62.7109375" style="311" customWidth="1"/>
    <col min="11012" max="11012" width="5.7109375" style="311" customWidth="1"/>
    <col min="11013" max="11013" width="4.28515625" style="311" customWidth="1"/>
    <col min="11014" max="11014" width="8" style="311" customWidth="1"/>
    <col min="11015" max="11015" width="14.5703125" style="311" customWidth="1"/>
    <col min="11016" max="11016" width="8.28515625" style="311" customWidth="1"/>
    <col min="11017" max="11017" width="22" style="311" customWidth="1"/>
    <col min="11018" max="11018" width="21.5703125" style="311" customWidth="1"/>
    <col min="11019" max="11019" width="19.140625" style="311" customWidth="1"/>
    <col min="11020" max="11020" width="9.140625" style="311"/>
    <col min="11021" max="11021" width="8.85546875" style="311" customWidth="1"/>
    <col min="11022" max="11022" width="9.140625" style="311"/>
    <col min="11023" max="11024" width="9.28515625" style="311" customWidth="1"/>
    <col min="11025" max="11265" width="9.140625" style="311"/>
    <col min="11266" max="11266" width="8" style="311" customWidth="1"/>
    <col min="11267" max="11267" width="62.7109375" style="311" customWidth="1"/>
    <col min="11268" max="11268" width="5.7109375" style="311" customWidth="1"/>
    <col min="11269" max="11269" width="4.28515625" style="311" customWidth="1"/>
    <col min="11270" max="11270" width="8" style="311" customWidth="1"/>
    <col min="11271" max="11271" width="14.5703125" style="311" customWidth="1"/>
    <col min="11272" max="11272" width="8.28515625" style="311" customWidth="1"/>
    <col min="11273" max="11273" width="22" style="311" customWidth="1"/>
    <col min="11274" max="11274" width="21.5703125" style="311" customWidth="1"/>
    <col min="11275" max="11275" width="19.140625" style="311" customWidth="1"/>
    <col min="11276" max="11276" width="9.140625" style="311"/>
    <col min="11277" max="11277" width="8.85546875" style="311" customWidth="1"/>
    <col min="11278" max="11278" width="9.140625" style="311"/>
    <col min="11279" max="11280" width="9.28515625" style="311" customWidth="1"/>
    <col min="11281" max="11521" width="9.140625" style="311"/>
    <col min="11522" max="11522" width="8" style="311" customWidth="1"/>
    <col min="11523" max="11523" width="62.7109375" style="311" customWidth="1"/>
    <col min="11524" max="11524" width="5.7109375" style="311" customWidth="1"/>
    <col min="11525" max="11525" width="4.28515625" style="311" customWidth="1"/>
    <col min="11526" max="11526" width="8" style="311" customWidth="1"/>
    <col min="11527" max="11527" width="14.5703125" style="311" customWidth="1"/>
    <col min="11528" max="11528" width="8.28515625" style="311" customWidth="1"/>
    <col min="11529" max="11529" width="22" style="311" customWidth="1"/>
    <col min="11530" max="11530" width="21.5703125" style="311" customWidth="1"/>
    <col min="11531" max="11531" width="19.140625" style="311" customWidth="1"/>
    <col min="11532" max="11532" width="9.140625" style="311"/>
    <col min="11533" max="11533" width="8.85546875" style="311" customWidth="1"/>
    <col min="11534" max="11534" width="9.140625" style="311"/>
    <col min="11535" max="11536" width="9.28515625" style="311" customWidth="1"/>
    <col min="11537" max="11777" width="9.140625" style="311"/>
    <col min="11778" max="11778" width="8" style="311" customWidth="1"/>
    <col min="11779" max="11779" width="62.7109375" style="311" customWidth="1"/>
    <col min="11780" max="11780" width="5.7109375" style="311" customWidth="1"/>
    <col min="11781" max="11781" width="4.28515625" style="311" customWidth="1"/>
    <col min="11782" max="11782" width="8" style="311" customWidth="1"/>
    <col min="11783" max="11783" width="14.5703125" style="311" customWidth="1"/>
    <col min="11784" max="11784" width="8.28515625" style="311" customWidth="1"/>
    <col min="11785" max="11785" width="22" style="311" customWidth="1"/>
    <col min="11786" max="11786" width="21.5703125" style="311" customWidth="1"/>
    <col min="11787" max="11787" width="19.140625" style="311" customWidth="1"/>
    <col min="11788" max="11788" width="9.140625" style="311"/>
    <col min="11789" max="11789" width="8.85546875" style="311" customWidth="1"/>
    <col min="11790" max="11790" width="9.140625" style="311"/>
    <col min="11791" max="11792" width="9.28515625" style="311" customWidth="1"/>
    <col min="11793" max="12033" width="9.140625" style="311"/>
    <col min="12034" max="12034" width="8" style="311" customWidth="1"/>
    <col min="12035" max="12035" width="62.7109375" style="311" customWidth="1"/>
    <col min="12036" max="12036" width="5.7109375" style="311" customWidth="1"/>
    <col min="12037" max="12037" width="4.28515625" style="311" customWidth="1"/>
    <col min="12038" max="12038" width="8" style="311" customWidth="1"/>
    <col min="12039" max="12039" width="14.5703125" style="311" customWidth="1"/>
    <col min="12040" max="12040" width="8.28515625" style="311" customWidth="1"/>
    <col min="12041" max="12041" width="22" style="311" customWidth="1"/>
    <col min="12042" max="12042" width="21.5703125" style="311" customWidth="1"/>
    <col min="12043" max="12043" width="19.140625" style="311" customWidth="1"/>
    <col min="12044" max="12044" width="9.140625" style="311"/>
    <col min="12045" max="12045" width="8.85546875" style="311" customWidth="1"/>
    <col min="12046" max="12046" width="9.140625" style="311"/>
    <col min="12047" max="12048" width="9.28515625" style="311" customWidth="1"/>
    <col min="12049" max="12289" width="9.140625" style="311"/>
    <col min="12290" max="12290" width="8" style="311" customWidth="1"/>
    <col min="12291" max="12291" width="62.7109375" style="311" customWidth="1"/>
    <col min="12292" max="12292" width="5.7109375" style="311" customWidth="1"/>
    <col min="12293" max="12293" width="4.28515625" style="311" customWidth="1"/>
    <col min="12294" max="12294" width="8" style="311" customWidth="1"/>
    <col min="12295" max="12295" width="14.5703125" style="311" customWidth="1"/>
    <col min="12296" max="12296" width="8.28515625" style="311" customWidth="1"/>
    <col min="12297" max="12297" width="22" style="311" customWidth="1"/>
    <col min="12298" max="12298" width="21.5703125" style="311" customWidth="1"/>
    <col min="12299" max="12299" width="19.140625" style="311" customWidth="1"/>
    <col min="12300" max="12300" width="9.140625" style="311"/>
    <col min="12301" max="12301" width="8.85546875" style="311" customWidth="1"/>
    <col min="12302" max="12302" width="9.140625" style="311"/>
    <col min="12303" max="12304" width="9.28515625" style="311" customWidth="1"/>
    <col min="12305" max="12545" width="9.140625" style="311"/>
    <col min="12546" max="12546" width="8" style="311" customWidth="1"/>
    <col min="12547" max="12547" width="62.7109375" style="311" customWidth="1"/>
    <col min="12548" max="12548" width="5.7109375" style="311" customWidth="1"/>
    <col min="12549" max="12549" width="4.28515625" style="311" customWidth="1"/>
    <col min="12550" max="12550" width="8" style="311" customWidth="1"/>
    <col min="12551" max="12551" width="14.5703125" style="311" customWidth="1"/>
    <col min="12552" max="12552" width="8.28515625" style="311" customWidth="1"/>
    <col min="12553" max="12553" width="22" style="311" customWidth="1"/>
    <col min="12554" max="12554" width="21.5703125" style="311" customWidth="1"/>
    <col min="12555" max="12555" width="19.140625" style="311" customWidth="1"/>
    <col min="12556" max="12556" width="9.140625" style="311"/>
    <col min="12557" max="12557" width="8.85546875" style="311" customWidth="1"/>
    <col min="12558" max="12558" width="9.140625" style="311"/>
    <col min="12559" max="12560" width="9.28515625" style="311" customWidth="1"/>
    <col min="12561" max="12801" width="9.140625" style="311"/>
    <col min="12802" max="12802" width="8" style="311" customWidth="1"/>
    <col min="12803" max="12803" width="62.7109375" style="311" customWidth="1"/>
    <col min="12804" max="12804" width="5.7109375" style="311" customWidth="1"/>
    <col min="12805" max="12805" width="4.28515625" style="311" customWidth="1"/>
    <col min="12806" max="12806" width="8" style="311" customWidth="1"/>
    <col min="12807" max="12807" width="14.5703125" style="311" customWidth="1"/>
    <col min="12808" max="12808" width="8.28515625" style="311" customWidth="1"/>
    <col min="12809" max="12809" width="22" style="311" customWidth="1"/>
    <col min="12810" max="12810" width="21.5703125" style="311" customWidth="1"/>
    <col min="12811" max="12811" width="19.140625" style="311" customWidth="1"/>
    <col min="12812" max="12812" width="9.140625" style="311"/>
    <col min="12813" max="12813" width="8.85546875" style="311" customWidth="1"/>
    <col min="12814" max="12814" width="9.140625" style="311"/>
    <col min="12815" max="12816" width="9.28515625" style="311" customWidth="1"/>
    <col min="12817" max="13057" width="9.140625" style="311"/>
    <col min="13058" max="13058" width="8" style="311" customWidth="1"/>
    <col min="13059" max="13059" width="62.7109375" style="311" customWidth="1"/>
    <col min="13060" max="13060" width="5.7109375" style="311" customWidth="1"/>
    <col min="13061" max="13061" width="4.28515625" style="311" customWidth="1"/>
    <col min="13062" max="13062" width="8" style="311" customWidth="1"/>
    <col min="13063" max="13063" width="14.5703125" style="311" customWidth="1"/>
    <col min="13064" max="13064" width="8.28515625" style="311" customWidth="1"/>
    <col min="13065" max="13065" width="22" style="311" customWidth="1"/>
    <col min="13066" max="13066" width="21.5703125" style="311" customWidth="1"/>
    <col min="13067" max="13067" width="19.140625" style="311" customWidth="1"/>
    <col min="13068" max="13068" width="9.140625" style="311"/>
    <col min="13069" max="13069" width="8.85546875" style="311" customWidth="1"/>
    <col min="13070" max="13070" width="9.140625" style="311"/>
    <col min="13071" max="13072" width="9.28515625" style="311" customWidth="1"/>
    <col min="13073" max="13313" width="9.140625" style="311"/>
    <col min="13314" max="13314" width="8" style="311" customWidth="1"/>
    <col min="13315" max="13315" width="62.7109375" style="311" customWidth="1"/>
    <col min="13316" max="13316" width="5.7109375" style="311" customWidth="1"/>
    <col min="13317" max="13317" width="4.28515625" style="311" customWidth="1"/>
    <col min="13318" max="13318" width="8" style="311" customWidth="1"/>
    <col min="13319" max="13319" width="14.5703125" style="311" customWidth="1"/>
    <col min="13320" max="13320" width="8.28515625" style="311" customWidth="1"/>
    <col min="13321" max="13321" width="22" style="311" customWidth="1"/>
    <col min="13322" max="13322" width="21.5703125" style="311" customWidth="1"/>
    <col min="13323" max="13323" width="19.140625" style="311" customWidth="1"/>
    <col min="13324" max="13324" width="9.140625" style="311"/>
    <col min="13325" max="13325" width="8.85546875" style="311" customWidth="1"/>
    <col min="13326" max="13326" width="9.140625" style="311"/>
    <col min="13327" max="13328" width="9.28515625" style="311" customWidth="1"/>
    <col min="13329" max="13569" width="9.140625" style="311"/>
    <col min="13570" max="13570" width="8" style="311" customWidth="1"/>
    <col min="13571" max="13571" width="62.7109375" style="311" customWidth="1"/>
    <col min="13572" max="13572" width="5.7109375" style="311" customWidth="1"/>
    <col min="13573" max="13573" width="4.28515625" style="311" customWidth="1"/>
    <col min="13574" max="13574" width="8" style="311" customWidth="1"/>
    <col min="13575" max="13575" width="14.5703125" style="311" customWidth="1"/>
    <col min="13576" max="13576" width="8.28515625" style="311" customWidth="1"/>
    <col min="13577" max="13577" width="22" style="311" customWidth="1"/>
    <col min="13578" max="13578" width="21.5703125" style="311" customWidth="1"/>
    <col min="13579" max="13579" width="19.140625" style="311" customWidth="1"/>
    <col min="13580" max="13580" width="9.140625" style="311"/>
    <col min="13581" max="13581" width="8.85546875" style="311" customWidth="1"/>
    <col min="13582" max="13582" width="9.140625" style="311"/>
    <col min="13583" max="13584" width="9.28515625" style="311" customWidth="1"/>
    <col min="13585" max="13825" width="9.140625" style="311"/>
    <col min="13826" max="13826" width="8" style="311" customWidth="1"/>
    <col min="13827" max="13827" width="62.7109375" style="311" customWidth="1"/>
    <col min="13828" max="13828" width="5.7109375" style="311" customWidth="1"/>
    <col min="13829" max="13829" width="4.28515625" style="311" customWidth="1"/>
    <col min="13830" max="13830" width="8" style="311" customWidth="1"/>
    <col min="13831" max="13831" width="14.5703125" style="311" customWidth="1"/>
    <col min="13832" max="13832" width="8.28515625" style="311" customWidth="1"/>
    <col min="13833" max="13833" width="22" style="311" customWidth="1"/>
    <col min="13834" max="13834" width="21.5703125" style="311" customWidth="1"/>
    <col min="13835" max="13835" width="19.140625" style="311" customWidth="1"/>
    <col min="13836" max="13836" width="9.140625" style="311"/>
    <col min="13837" max="13837" width="8.85546875" style="311" customWidth="1"/>
    <col min="13838" max="13838" width="9.140625" style="311"/>
    <col min="13839" max="13840" width="9.28515625" style="311" customWidth="1"/>
    <col min="13841" max="14081" width="9.140625" style="311"/>
    <col min="14082" max="14082" width="8" style="311" customWidth="1"/>
    <col min="14083" max="14083" width="62.7109375" style="311" customWidth="1"/>
    <col min="14084" max="14084" width="5.7109375" style="311" customWidth="1"/>
    <col min="14085" max="14085" width="4.28515625" style="311" customWidth="1"/>
    <col min="14086" max="14086" width="8" style="311" customWidth="1"/>
    <col min="14087" max="14087" width="14.5703125" style="311" customWidth="1"/>
    <col min="14088" max="14088" width="8.28515625" style="311" customWidth="1"/>
    <col min="14089" max="14089" width="22" style="311" customWidth="1"/>
    <col min="14090" max="14090" width="21.5703125" style="311" customWidth="1"/>
    <col min="14091" max="14091" width="19.140625" style="311" customWidth="1"/>
    <col min="14092" max="14092" width="9.140625" style="311"/>
    <col min="14093" max="14093" width="8.85546875" style="311" customWidth="1"/>
    <col min="14094" max="14094" width="9.140625" style="311"/>
    <col min="14095" max="14096" width="9.28515625" style="311" customWidth="1"/>
    <col min="14097" max="14337" width="9.140625" style="311"/>
    <col min="14338" max="14338" width="8" style="311" customWidth="1"/>
    <col min="14339" max="14339" width="62.7109375" style="311" customWidth="1"/>
    <col min="14340" max="14340" width="5.7109375" style="311" customWidth="1"/>
    <col min="14341" max="14341" width="4.28515625" style="311" customWidth="1"/>
    <col min="14342" max="14342" width="8" style="311" customWidth="1"/>
    <col min="14343" max="14343" width="14.5703125" style="311" customWidth="1"/>
    <col min="14344" max="14344" width="8.28515625" style="311" customWidth="1"/>
    <col min="14345" max="14345" width="22" style="311" customWidth="1"/>
    <col min="14346" max="14346" width="21.5703125" style="311" customWidth="1"/>
    <col min="14347" max="14347" width="19.140625" style="311" customWidth="1"/>
    <col min="14348" max="14348" width="9.140625" style="311"/>
    <col min="14349" max="14349" width="8.85546875" style="311" customWidth="1"/>
    <col min="14350" max="14350" width="9.140625" style="311"/>
    <col min="14351" max="14352" width="9.28515625" style="311" customWidth="1"/>
    <col min="14353" max="14593" width="9.140625" style="311"/>
    <col min="14594" max="14594" width="8" style="311" customWidth="1"/>
    <col min="14595" max="14595" width="62.7109375" style="311" customWidth="1"/>
    <col min="14596" max="14596" width="5.7109375" style="311" customWidth="1"/>
    <col min="14597" max="14597" width="4.28515625" style="311" customWidth="1"/>
    <col min="14598" max="14598" width="8" style="311" customWidth="1"/>
    <col min="14599" max="14599" width="14.5703125" style="311" customWidth="1"/>
    <col min="14600" max="14600" width="8.28515625" style="311" customWidth="1"/>
    <col min="14601" max="14601" width="22" style="311" customWidth="1"/>
    <col min="14602" max="14602" width="21.5703125" style="311" customWidth="1"/>
    <col min="14603" max="14603" width="19.140625" style="311" customWidth="1"/>
    <col min="14604" max="14604" width="9.140625" style="311"/>
    <col min="14605" max="14605" width="8.85546875" style="311" customWidth="1"/>
    <col min="14606" max="14606" width="9.140625" style="311"/>
    <col min="14607" max="14608" width="9.28515625" style="311" customWidth="1"/>
    <col min="14609" max="14849" width="9.140625" style="311"/>
    <col min="14850" max="14850" width="8" style="311" customWidth="1"/>
    <col min="14851" max="14851" width="62.7109375" style="311" customWidth="1"/>
    <col min="14852" max="14852" width="5.7109375" style="311" customWidth="1"/>
    <col min="14853" max="14853" width="4.28515625" style="311" customWidth="1"/>
    <col min="14854" max="14854" width="8" style="311" customWidth="1"/>
    <col min="14855" max="14855" width="14.5703125" style="311" customWidth="1"/>
    <col min="14856" max="14856" width="8.28515625" style="311" customWidth="1"/>
    <col min="14857" max="14857" width="22" style="311" customWidth="1"/>
    <col min="14858" max="14858" width="21.5703125" style="311" customWidth="1"/>
    <col min="14859" max="14859" width="19.140625" style="311" customWidth="1"/>
    <col min="14860" max="14860" width="9.140625" style="311"/>
    <col min="14861" max="14861" width="8.85546875" style="311" customWidth="1"/>
    <col min="14862" max="14862" width="9.140625" style="311"/>
    <col min="14863" max="14864" width="9.28515625" style="311" customWidth="1"/>
    <col min="14865" max="15105" width="9.140625" style="311"/>
    <col min="15106" max="15106" width="8" style="311" customWidth="1"/>
    <col min="15107" max="15107" width="62.7109375" style="311" customWidth="1"/>
    <col min="15108" max="15108" width="5.7109375" style="311" customWidth="1"/>
    <col min="15109" max="15109" width="4.28515625" style="311" customWidth="1"/>
    <col min="15110" max="15110" width="8" style="311" customWidth="1"/>
    <col min="15111" max="15111" width="14.5703125" style="311" customWidth="1"/>
    <col min="15112" max="15112" width="8.28515625" style="311" customWidth="1"/>
    <col min="15113" max="15113" width="22" style="311" customWidth="1"/>
    <col min="15114" max="15114" width="21.5703125" style="311" customWidth="1"/>
    <col min="15115" max="15115" width="19.140625" style="311" customWidth="1"/>
    <col min="15116" max="15116" width="9.140625" style="311"/>
    <col min="15117" max="15117" width="8.85546875" style="311" customWidth="1"/>
    <col min="15118" max="15118" width="9.140625" style="311"/>
    <col min="15119" max="15120" width="9.28515625" style="311" customWidth="1"/>
    <col min="15121" max="15361" width="9.140625" style="311"/>
    <col min="15362" max="15362" width="8" style="311" customWidth="1"/>
    <col min="15363" max="15363" width="62.7109375" style="311" customWidth="1"/>
    <col min="15364" max="15364" width="5.7109375" style="311" customWidth="1"/>
    <col min="15365" max="15365" width="4.28515625" style="311" customWidth="1"/>
    <col min="15366" max="15366" width="8" style="311" customWidth="1"/>
    <col min="15367" max="15367" width="14.5703125" style="311" customWidth="1"/>
    <col min="15368" max="15368" width="8.28515625" style="311" customWidth="1"/>
    <col min="15369" max="15369" width="22" style="311" customWidth="1"/>
    <col min="15370" max="15370" width="21.5703125" style="311" customWidth="1"/>
    <col min="15371" max="15371" width="19.140625" style="311" customWidth="1"/>
    <col min="15372" max="15372" width="9.140625" style="311"/>
    <col min="15373" max="15373" width="8.85546875" style="311" customWidth="1"/>
    <col min="15374" max="15374" width="9.140625" style="311"/>
    <col min="15375" max="15376" width="9.28515625" style="311" customWidth="1"/>
    <col min="15377" max="15617" width="9.140625" style="311"/>
    <col min="15618" max="15618" width="8" style="311" customWidth="1"/>
    <col min="15619" max="15619" width="62.7109375" style="311" customWidth="1"/>
    <col min="15620" max="15620" width="5.7109375" style="311" customWidth="1"/>
    <col min="15621" max="15621" width="4.28515625" style="311" customWidth="1"/>
    <col min="15622" max="15622" width="8" style="311" customWidth="1"/>
    <col min="15623" max="15623" width="14.5703125" style="311" customWidth="1"/>
    <col min="15624" max="15624" width="8.28515625" style="311" customWidth="1"/>
    <col min="15625" max="15625" width="22" style="311" customWidth="1"/>
    <col min="15626" max="15626" width="21.5703125" style="311" customWidth="1"/>
    <col min="15627" max="15627" width="19.140625" style="311" customWidth="1"/>
    <col min="15628" max="15628" width="9.140625" style="311"/>
    <col min="15629" max="15629" width="8.85546875" style="311" customWidth="1"/>
    <col min="15630" max="15630" width="9.140625" style="311"/>
    <col min="15631" max="15632" width="9.28515625" style="311" customWidth="1"/>
    <col min="15633" max="15873" width="9.140625" style="311"/>
    <col min="15874" max="15874" width="8" style="311" customWidth="1"/>
    <col min="15875" max="15875" width="62.7109375" style="311" customWidth="1"/>
    <col min="15876" max="15876" width="5.7109375" style="311" customWidth="1"/>
    <col min="15877" max="15877" width="4.28515625" style="311" customWidth="1"/>
    <col min="15878" max="15878" width="8" style="311" customWidth="1"/>
    <col min="15879" max="15879" width="14.5703125" style="311" customWidth="1"/>
    <col min="15880" max="15880" width="8.28515625" style="311" customWidth="1"/>
    <col min="15881" max="15881" width="22" style="311" customWidth="1"/>
    <col min="15882" max="15882" width="21.5703125" style="311" customWidth="1"/>
    <col min="15883" max="15883" width="19.140625" style="311" customWidth="1"/>
    <col min="15884" max="15884" width="9.140625" style="311"/>
    <col min="15885" max="15885" width="8.85546875" style="311" customWidth="1"/>
    <col min="15886" max="15886" width="9.140625" style="311"/>
    <col min="15887" max="15888" width="9.28515625" style="311" customWidth="1"/>
    <col min="15889" max="16129" width="9.140625" style="311"/>
    <col min="16130" max="16130" width="8" style="311" customWidth="1"/>
    <col min="16131" max="16131" width="62.7109375" style="311" customWidth="1"/>
    <col min="16132" max="16132" width="5.7109375" style="311" customWidth="1"/>
    <col min="16133" max="16133" width="4.28515625" style="311" customWidth="1"/>
    <col min="16134" max="16134" width="8" style="311" customWidth="1"/>
    <col min="16135" max="16135" width="14.5703125" style="311" customWidth="1"/>
    <col min="16136" max="16136" width="8.28515625" style="311" customWidth="1"/>
    <col min="16137" max="16137" width="22" style="311" customWidth="1"/>
    <col min="16138" max="16138" width="21.5703125" style="311" customWidth="1"/>
    <col min="16139" max="16139" width="19.140625" style="311" customWidth="1"/>
    <col min="16140" max="16140" width="9.140625" style="311"/>
    <col min="16141" max="16141" width="8.85546875" style="311" customWidth="1"/>
    <col min="16142" max="16142" width="9.140625" style="311"/>
    <col min="16143" max="16144" width="9.28515625" style="311" customWidth="1"/>
    <col min="16145" max="16384" width="9.140625" style="311"/>
  </cols>
  <sheetData>
    <row r="1" spans="2:18" ht="14.85" customHeight="1" thickBot="1"/>
    <row r="2" spans="2:18" ht="15" customHeight="1">
      <c r="B2" s="865" t="s">
        <v>453</v>
      </c>
      <c r="C2" s="866"/>
      <c r="D2" s="866"/>
      <c r="E2" s="866"/>
      <c r="F2" s="866"/>
      <c r="G2" s="866"/>
      <c r="H2" s="866"/>
      <c r="I2" s="866"/>
      <c r="J2" s="866"/>
      <c r="K2" s="867"/>
    </row>
    <row r="3" spans="2:18" ht="15" customHeight="1">
      <c r="B3" s="888" t="s">
        <v>454</v>
      </c>
      <c r="C3" s="889"/>
      <c r="D3" s="889"/>
      <c r="E3" s="889"/>
      <c r="F3" s="889"/>
      <c r="G3" s="889"/>
      <c r="H3" s="889"/>
      <c r="I3" s="889"/>
      <c r="J3" s="889"/>
      <c r="K3" s="890"/>
      <c r="N3" s="564"/>
      <c r="O3" s="564"/>
    </row>
    <row r="4" spans="2:18" ht="15" customHeight="1">
      <c r="B4" s="888" t="s">
        <v>421</v>
      </c>
      <c r="C4" s="889"/>
      <c r="D4" s="889"/>
      <c r="E4" s="889"/>
      <c r="F4" s="889"/>
      <c r="G4" s="889"/>
      <c r="H4" s="889"/>
      <c r="I4" s="889"/>
      <c r="J4" s="889"/>
      <c r="K4" s="890"/>
      <c r="N4" s="76" t="s">
        <v>366</v>
      </c>
      <c r="O4" s="76"/>
    </row>
    <row r="5" spans="2:18" s="33" customFormat="1" ht="15">
      <c r="B5" s="698" t="s">
        <v>455</v>
      </c>
      <c r="C5" s="520"/>
      <c r="D5" s="520"/>
      <c r="E5" s="521"/>
      <c r="F5" s="520"/>
      <c r="G5" s="742"/>
      <c r="H5" s="740"/>
      <c r="I5" s="743"/>
      <c r="J5" s="526" t="s">
        <v>422</v>
      </c>
      <c r="K5" s="525" t="s">
        <v>588</v>
      </c>
      <c r="N5" s="564" t="s">
        <v>367</v>
      </c>
      <c r="O5" s="564">
        <v>52</v>
      </c>
    </row>
    <row r="6" spans="2:18" ht="12.75">
      <c r="B6" s="519" t="s">
        <v>451</v>
      </c>
      <c r="C6" s="520"/>
      <c r="D6" s="520"/>
      <c r="E6" s="521"/>
      <c r="F6" s="520"/>
      <c r="G6" s="522"/>
      <c r="H6" s="523"/>
      <c r="I6" s="521"/>
      <c r="J6" s="524" t="s">
        <v>423</v>
      </c>
      <c r="K6" s="525" t="s">
        <v>424</v>
      </c>
      <c r="N6" s="564" t="s">
        <v>368</v>
      </c>
      <c r="O6" s="575">
        <v>55</v>
      </c>
    </row>
    <row r="7" spans="2:18" ht="13.5" thickBot="1">
      <c r="B7" s="698" t="s">
        <v>452</v>
      </c>
      <c r="C7" s="699"/>
      <c r="D7" s="699"/>
      <c r="E7" s="699"/>
      <c r="F7" s="699"/>
      <c r="G7" s="699"/>
      <c r="H7" s="699"/>
      <c r="I7" s="699"/>
      <c r="J7" s="526" t="s">
        <v>425</v>
      </c>
      <c r="K7" s="527" t="s">
        <v>181</v>
      </c>
      <c r="N7" s="564" t="s">
        <v>369</v>
      </c>
      <c r="O7" s="564">
        <v>75</v>
      </c>
    </row>
    <row r="8" spans="2:18" ht="13.5" thickBot="1">
      <c r="B8" s="891" t="s">
        <v>119</v>
      </c>
      <c r="C8" s="893" t="s">
        <v>60</v>
      </c>
      <c r="D8" s="893"/>
      <c r="E8" s="893"/>
      <c r="F8" s="893"/>
      <c r="G8" s="895" t="s">
        <v>59</v>
      </c>
      <c r="H8" s="897" t="s">
        <v>171</v>
      </c>
      <c r="I8" s="899" t="s">
        <v>177</v>
      </c>
      <c r="J8" s="901" t="s">
        <v>178</v>
      </c>
      <c r="K8" s="903" t="s">
        <v>179</v>
      </c>
    </row>
    <row r="9" spans="2:18" ht="13.5" thickBot="1">
      <c r="B9" s="892"/>
      <c r="C9" s="894"/>
      <c r="D9" s="894"/>
      <c r="E9" s="894"/>
      <c r="F9" s="894"/>
      <c r="G9" s="896"/>
      <c r="H9" s="898"/>
      <c r="I9" s="900"/>
      <c r="J9" s="902"/>
      <c r="K9" s="904"/>
    </row>
    <row r="10" spans="2:18" ht="13.5" thickBot="1">
      <c r="B10" s="512">
        <v>1</v>
      </c>
      <c r="C10" s="513" t="s">
        <v>149</v>
      </c>
      <c r="D10" s="513"/>
      <c r="E10" s="514"/>
      <c r="F10" s="513"/>
      <c r="G10" s="515"/>
      <c r="H10" s="516"/>
      <c r="I10" s="514"/>
      <c r="J10" s="517"/>
      <c r="K10" s="518"/>
    </row>
    <row r="11" spans="2:18" ht="15" customHeight="1">
      <c r="B11" s="448" t="s">
        <v>54</v>
      </c>
      <c r="C11" s="449" t="s">
        <v>180</v>
      </c>
      <c r="D11" s="450"/>
      <c r="E11" s="451"/>
      <c r="F11" s="452"/>
      <c r="G11" s="453">
        <v>1</v>
      </c>
      <c r="H11" s="454" t="s">
        <v>181</v>
      </c>
      <c r="I11" s="454" t="s">
        <v>426</v>
      </c>
      <c r="J11" s="455">
        <v>111.73</v>
      </c>
      <c r="K11" s="456">
        <f>1.1*G11*J11</f>
        <v>122.90300000000002</v>
      </c>
      <c r="M11" s="79"/>
      <c r="O11" s="79"/>
      <c r="P11" s="79"/>
    </row>
    <row r="12" spans="2:18" ht="15" customHeight="1">
      <c r="B12" s="457" t="s">
        <v>53</v>
      </c>
      <c r="C12" s="458" t="s">
        <v>427</v>
      </c>
      <c r="D12" s="459"/>
      <c r="E12" s="460"/>
      <c r="F12" s="461"/>
      <c r="G12" s="462">
        <v>1</v>
      </c>
      <c r="H12" s="463" t="s">
        <v>181</v>
      </c>
      <c r="I12" s="463" t="s">
        <v>428</v>
      </c>
      <c r="J12" s="464">
        <v>135.24</v>
      </c>
      <c r="K12" s="465">
        <f>1.1*G12*J12</f>
        <v>148.76400000000001</v>
      </c>
      <c r="M12" s="79"/>
      <c r="O12" s="79"/>
      <c r="P12" s="79"/>
    </row>
    <row r="13" spans="2:18" ht="15" customHeight="1">
      <c r="B13" s="457" t="s">
        <v>52</v>
      </c>
      <c r="C13" s="458" t="s">
        <v>429</v>
      </c>
      <c r="D13" s="459"/>
      <c r="E13" s="460"/>
      <c r="F13" s="461"/>
      <c r="G13" s="462">
        <v>1</v>
      </c>
      <c r="H13" s="463" t="s">
        <v>181</v>
      </c>
      <c r="I13" s="463" t="s">
        <v>430</v>
      </c>
      <c r="J13" s="464">
        <v>50.9</v>
      </c>
      <c r="K13" s="465">
        <f>1.1*G13*J13</f>
        <v>55.99</v>
      </c>
      <c r="M13" s="79"/>
      <c r="O13" s="79"/>
      <c r="P13" s="79"/>
    </row>
    <row r="14" spans="2:18" ht="15" customHeight="1" thickBot="1">
      <c r="B14" s="466" t="s">
        <v>431</v>
      </c>
      <c r="C14" s="467" t="s">
        <v>182</v>
      </c>
      <c r="D14" s="468"/>
      <c r="E14" s="469"/>
      <c r="F14" s="470"/>
      <c r="G14" s="471">
        <v>1</v>
      </c>
      <c r="H14" s="472" t="s">
        <v>181</v>
      </c>
      <c r="I14" s="473" t="s">
        <v>432</v>
      </c>
      <c r="J14" s="474">
        <v>178.5</v>
      </c>
      <c r="K14" s="475">
        <f>0.6*G14*J14</f>
        <v>107.1</v>
      </c>
      <c r="M14" s="79"/>
      <c r="O14" s="79"/>
      <c r="P14" s="79"/>
    </row>
    <row r="15" spans="2:18" ht="15" customHeight="1" thickBot="1">
      <c r="B15" s="226" t="s">
        <v>50</v>
      </c>
      <c r="C15" s="81"/>
      <c r="D15" s="81"/>
      <c r="E15" s="81"/>
      <c r="F15" s="81"/>
      <c r="G15" s="82"/>
      <c r="H15" s="81"/>
      <c r="I15" s="81"/>
      <c r="J15" s="476"/>
      <c r="K15" s="227">
        <f>SUM(K11:K14)</f>
        <v>434.75700000000006</v>
      </c>
      <c r="M15" s="79"/>
      <c r="O15" s="79"/>
      <c r="P15" s="79"/>
      <c r="R15" s="48"/>
    </row>
    <row r="16" spans="2:18" ht="15" customHeight="1" thickBot="1">
      <c r="B16" s="222">
        <v>2</v>
      </c>
      <c r="C16" s="112" t="s">
        <v>150</v>
      </c>
      <c r="D16" s="112"/>
      <c r="E16" s="113"/>
      <c r="F16" s="112"/>
      <c r="G16" s="114"/>
      <c r="H16" s="231"/>
      <c r="I16" s="113"/>
      <c r="J16" s="113"/>
      <c r="K16" s="223"/>
      <c r="M16" s="79"/>
      <c r="O16" s="79"/>
      <c r="P16" s="79"/>
      <c r="R16" s="48"/>
    </row>
    <row r="17" spans="2:20" ht="15" customHeight="1">
      <c r="B17" s="228" t="s">
        <v>48</v>
      </c>
      <c r="C17" s="83" t="s">
        <v>433</v>
      </c>
      <c r="D17" s="84"/>
      <c r="E17" s="85"/>
      <c r="F17" s="477"/>
      <c r="G17" s="478">
        <v>2</v>
      </c>
      <c r="H17" s="479" t="s">
        <v>181</v>
      </c>
      <c r="I17" s="336" t="s">
        <v>434</v>
      </c>
      <c r="J17" s="480">
        <v>224.08</v>
      </c>
      <c r="K17" s="224">
        <f t="shared" ref="K17:K26" si="0">1.1*G17*J17</f>
        <v>492.97600000000006</v>
      </c>
      <c r="M17" s="79"/>
      <c r="O17" s="79"/>
      <c r="P17" s="79"/>
      <c r="R17" s="48"/>
    </row>
    <row r="18" spans="2:20" ht="15" customHeight="1">
      <c r="B18" s="481" t="s">
        <v>46</v>
      </c>
      <c r="C18" s="482" t="s">
        <v>183</v>
      </c>
      <c r="D18" s="483"/>
      <c r="E18" s="484"/>
      <c r="F18" s="485"/>
      <c r="G18" s="486">
        <v>1</v>
      </c>
      <c r="H18" s="463" t="s">
        <v>181</v>
      </c>
      <c r="I18" s="336" t="s">
        <v>434</v>
      </c>
      <c r="J18" s="480">
        <v>224.08</v>
      </c>
      <c r="K18" s="465">
        <f t="shared" si="0"/>
        <v>246.48800000000003</v>
      </c>
      <c r="M18" s="79"/>
      <c r="O18" s="79"/>
      <c r="P18" s="79"/>
      <c r="R18" s="48"/>
      <c r="T18" s="86"/>
    </row>
    <row r="19" spans="2:20" ht="15" customHeight="1">
      <c r="B19" s="481" t="s">
        <v>45</v>
      </c>
      <c r="C19" s="887" t="s">
        <v>151</v>
      </c>
      <c r="D19" s="887"/>
      <c r="E19" s="887"/>
      <c r="F19" s="887"/>
      <c r="G19" s="487">
        <v>1</v>
      </c>
      <c r="H19" s="463" t="s">
        <v>181</v>
      </c>
      <c r="I19" s="336" t="s">
        <v>434</v>
      </c>
      <c r="J19" s="480">
        <v>224.08</v>
      </c>
      <c r="K19" s="465">
        <f t="shared" si="0"/>
        <v>246.48800000000003</v>
      </c>
      <c r="M19" s="79"/>
      <c r="O19" s="79"/>
      <c r="P19" s="79"/>
      <c r="R19" s="48"/>
      <c r="T19" s="86"/>
    </row>
    <row r="20" spans="2:20" ht="15" customHeight="1">
      <c r="B20" s="481" t="s">
        <v>44</v>
      </c>
      <c r="C20" s="458" t="s">
        <v>152</v>
      </c>
      <c r="D20" s="459"/>
      <c r="E20" s="459"/>
      <c r="F20" s="461"/>
      <c r="G20" s="487">
        <v>2</v>
      </c>
      <c r="H20" s="463" t="s">
        <v>181</v>
      </c>
      <c r="I20" s="336" t="s">
        <v>434</v>
      </c>
      <c r="J20" s="480">
        <v>224.08</v>
      </c>
      <c r="K20" s="465">
        <f t="shared" si="0"/>
        <v>492.97600000000006</v>
      </c>
      <c r="M20" s="79"/>
      <c r="O20" s="79"/>
      <c r="P20" s="79"/>
      <c r="R20" s="48"/>
      <c r="T20" s="86"/>
    </row>
    <row r="21" spans="2:20" ht="15" customHeight="1">
      <c r="B21" s="481" t="s">
        <v>43</v>
      </c>
      <c r="C21" s="482" t="s">
        <v>184</v>
      </c>
      <c r="D21" s="459"/>
      <c r="E21" s="459"/>
      <c r="F21" s="461"/>
      <c r="G21" s="487">
        <v>1</v>
      </c>
      <c r="H21" s="463" t="s">
        <v>181</v>
      </c>
      <c r="I21" s="336" t="s">
        <v>434</v>
      </c>
      <c r="J21" s="480">
        <v>224.08</v>
      </c>
      <c r="K21" s="465">
        <f t="shared" si="0"/>
        <v>246.48800000000003</v>
      </c>
      <c r="M21" s="79"/>
      <c r="O21" s="79"/>
      <c r="P21" s="79"/>
      <c r="R21" s="48"/>
      <c r="T21" s="86"/>
    </row>
    <row r="22" spans="2:20" ht="15" customHeight="1">
      <c r="B22" s="481" t="s">
        <v>42</v>
      </c>
      <c r="C22" s="482" t="s">
        <v>185</v>
      </c>
      <c r="D22" s="483"/>
      <c r="E22" s="488"/>
      <c r="F22" s="485"/>
      <c r="G22" s="486">
        <v>1</v>
      </c>
      <c r="H22" s="463" t="s">
        <v>181</v>
      </c>
      <c r="I22" s="336" t="s">
        <v>434</v>
      </c>
      <c r="J22" s="480">
        <v>224.08</v>
      </c>
      <c r="K22" s="465">
        <f t="shared" si="0"/>
        <v>246.48800000000003</v>
      </c>
      <c r="M22" s="79"/>
      <c r="O22" s="79"/>
      <c r="P22" s="79"/>
      <c r="R22" s="48"/>
      <c r="T22" s="86"/>
    </row>
    <row r="23" spans="2:20" ht="15" customHeight="1">
      <c r="B23" s="481" t="s">
        <v>41</v>
      </c>
      <c r="C23" s="483" t="s">
        <v>186</v>
      </c>
      <c r="D23" s="483"/>
      <c r="E23" s="488"/>
      <c r="F23" s="485"/>
      <c r="G23" s="462">
        <v>1</v>
      </c>
      <c r="H23" s="463" t="s">
        <v>181</v>
      </c>
      <c r="I23" s="336" t="s">
        <v>434</v>
      </c>
      <c r="J23" s="480">
        <v>224.08</v>
      </c>
      <c r="K23" s="465">
        <f t="shared" si="0"/>
        <v>246.48800000000003</v>
      </c>
      <c r="M23" s="79"/>
      <c r="O23" s="79"/>
      <c r="P23" s="79"/>
      <c r="R23" s="48"/>
      <c r="T23" s="86"/>
    </row>
    <row r="24" spans="2:20" ht="15" customHeight="1">
      <c r="B24" s="481" t="s">
        <v>40</v>
      </c>
      <c r="C24" s="483" t="s">
        <v>436</v>
      </c>
      <c r="D24" s="483"/>
      <c r="E24" s="484"/>
      <c r="F24" s="485"/>
      <c r="G24" s="462">
        <v>1</v>
      </c>
      <c r="H24" s="463" t="s">
        <v>181</v>
      </c>
      <c r="I24" s="336" t="s">
        <v>434</v>
      </c>
      <c r="J24" s="480">
        <v>224.08</v>
      </c>
      <c r="K24" s="465">
        <f t="shared" si="0"/>
        <v>246.48800000000003</v>
      </c>
      <c r="M24" s="79"/>
      <c r="O24" s="79"/>
      <c r="P24" s="79"/>
      <c r="Q24" s="48"/>
      <c r="R24" s="48"/>
      <c r="T24" s="86"/>
    </row>
    <row r="25" spans="2:20" ht="15" customHeight="1">
      <c r="B25" s="481" t="s">
        <v>70</v>
      </c>
      <c r="C25" s="483" t="s">
        <v>437</v>
      </c>
      <c r="D25" s="483"/>
      <c r="E25" s="484"/>
      <c r="F25" s="485"/>
      <c r="G25" s="462">
        <v>1</v>
      </c>
      <c r="H25" s="463" t="s">
        <v>181</v>
      </c>
      <c r="I25" s="336" t="s">
        <v>434</v>
      </c>
      <c r="J25" s="480">
        <v>224.08</v>
      </c>
      <c r="K25" s="465">
        <f t="shared" si="0"/>
        <v>246.48800000000003</v>
      </c>
      <c r="M25" s="79"/>
      <c r="O25" s="79"/>
      <c r="P25" s="79"/>
      <c r="Q25" s="48"/>
      <c r="R25" s="48"/>
      <c r="T25" s="86"/>
    </row>
    <row r="26" spans="2:20" ht="15" customHeight="1" thickBot="1">
      <c r="B26" s="489" t="s">
        <v>211</v>
      </c>
      <c r="C26" s="490" t="s">
        <v>187</v>
      </c>
      <c r="D26" s="490"/>
      <c r="E26" s="491"/>
      <c r="F26" s="492"/>
      <c r="G26" s="493">
        <v>1</v>
      </c>
      <c r="H26" s="472" t="s">
        <v>181</v>
      </c>
      <c r="I26" s="336" t="s">
        <v>434</v>
      </c>
      <c r="J26" s="480">
        <v>224.08</v>
      </c>
      <c r="K26" s="475">
        <f t="shared" si="0"/>
        <v>246.48800000000003</v>
      </c>
      <c r="M26" s="79"/>
      <c r="O26" s="79"/>
      <c r="P26" s="79"/>
      <c r="Q26" s="48"/>
      <c r="R26" s="48"/>
      <c r="T26" s="86"/>
    </row>
    <row r="27" spans="2:20" ht="15" customHeight="1" thickBot="1">
      <c r="B27" s="226" t="s">
        <v>39</v>
      </c>
      <c r="C27" s="81"/>
      <c r="D27" s="81"/>
      <c r="E27" s="81"/>
      <c r="F27" s="81"/>
      <c r="G27" s="82"/>
      <c r="H27" s="81"/>
      <c r="I27" s="81"/>
      <c r="J27" s="476"/>
      <c r="K27" s="227">
        <f>SUM(K17:K26)</f>
        <v>2957.8559999999998</v>
      </c>
      <c r="M27" s="79"/>
      <c r="O27" s="79"/>
      <c r="P27" s="79"/>
      <c r="Q27" s="48"/>
      <c r="R27" s="48"/>
    </row>
    <row r="28" spans="2:20" ht="15" customHeight="1" thickBot="1">
      <c r="B28" s="222">
        <v>3</v>
      </c>
      <c r="C28" s="112" t="s">
        <v>153</v>
      </c>
      <c r="D28" s="112"/>
      <c r="E28" s="113"/>
      <c r="F28" s="112"/>
      <c r="G28" s="114"/>
      <c r="H28" s="231"/>
      <c r="I28" s="113"/>
      <c r="J28" s="113"/>
      <c r="K28" s="223"/>
      <c r="M28" s="79"/>
      <c r="O28" s="79"/>
      <c r="P28" s="79"/>
      <c r="Q28" s="48"/>
      <c r="R28" s="48"/>
    </row>
    <row r="29" spans="2:20" ht="15" customHeight="1">
      <c r="B29" s="228" t="s">
        <v>37</v>
      </c>
      <c r="C29" s="494" t="s">
        <v>438</v>
      </c>
      <c r="D29" s="78"/>
      <c r="E29" s="495"/>
      <c r="F29" s="496"/>
      <c r="G29" s="414">
        <v>2</v>
      </c>
      <c r="H29" s="479" t="s">
        <v>181</v>
      </c>
      <c r="I29" s="479" t="s">
        <v>439</v>
      </c>
      <c r="J29" s="497">
        <v>137.61000000000001</v>
      </c>
      <c r="K29" s="224">
        <f>1.1*G29*J29</f>
        <v>302.74200000000008</v>
      </c>
      <c r="M29" s="79"/>
      <c r="O29" s="79"/>
      <c r="P29" s="79"/>
      <c r="Q29" s="48"/>
      <c r="R29" s="48"/>
      <c r="T29" s="86"/>
    </row>
    <row r="30" spans="2:20" ht="15" customHeight="1">
      <c r="B30" s="481" t="s">
        <v>35</v>
      </c>
      <c r="C30" s="498" t="s">
        <v>440</v>
      </c>
      <c r="D30" s="459"/>
      <c r="E30" s="499"/>
      <c r="F30" s="461"/>
      <c r="G30" s="462">
        <v>1</v>
      </c>
      <c r="H30" s="463" t="s">
        <v>181</v>
      </c>
      <c r="I30" s="336" t="s">
        <v>435</v>
      </c>
      <c r="J30" s="500">
        <v>173.53</v>
      </c>
      <c r="K30" s="465">
        <f>1.1*G30*J30</f>
        <v>190.88300000000001</v>
      </c>
      <c r="M30" s="79"/>
      <c r="O30" s="79"/>
      <c r="P30" s="79"/>
      <c r="Q30" s="48"/>
      <c r="R30" s="48"/>
      <c r="T30" s="86"/>
    </row>
    <row r="31" spans="2:20" ht="15" customHeight="1">
      <c r="B31" s="481" t="s">
        <v>34</v>
      </c>
      <c r="C31" s="498" t="s">
        <v>441</v>
      </c>
      <c r="D31" s="459"/>
      <c r="E31" s="499"/>
      <c r="F31" s="461"/>
      <c r="G31" s="462">
        <v>1</v>
      </c>
      <c r="H31" s="463" t="s">
        <v>181</v>
      </c>
      <c r="I31" s="336" t="s">
        <v>442</v>
      </c>
      <c r="J31" s="500">
        <v>188.08</v>
      </c>
      <c r="K31" s="465">
        <f>1.1*G31*J31</f>
        <v>206.88800000000003</v>
      </c>
      <c r="M31" s="79"/>
      <c r="O31" s="79"/>
      <c r="P31" s="79"/>
      <c r="Q31" s="48"/>
      <c r="R31" s="48"/>
      <c r="T31" s="86"/>
    </row>
    <row r="32" spans="2:20" ht="15" customHeight="1">
      <c r="B32" s="481" t="s">
        <v>33</v>
      </c>
      <c r="C32" s="498" t="s">
        <v>443</v>
      </c>
      <c r="D32" s="459"/>
      <c r="E32" s="499"/>
      <c r="F32" s="461"/>
      <c r="G32" s="462">
        <v>1</v>
      </c>
      <c r="H32" s="463" t="s">
        <v>181</v>
      </c>
      <c r="I32" s="336" t="s">
        <v>444</v>
      </c>
      <c r="J32" s="500">
        <v>180.57</v>
      </c>
      <c r="K32" s="465">
        <v>48.41</v>
      </c>
      <c r="M32" s="79"/>
      <c r="O32" s="79"/>
      <c r="P32" s="79"/>
      <c r="Q32" s="48"/>
      <c r="R32" s="48"/>
      <c r="T32" s="86"/>
    </row>
    <row r="33" spans="2:20" ht="15" customHeight="1">
      <c r="B33" s="481" t="s">
        <v>32</v>
      </c>
      <c r="C33" s="498" t="s">
        <v>445</v>
      </c>
      <c r="D33" s="459"/>
      <c r="E33" s="499"/>
      <c r="F33" s="461"/>
      <c r="G33" s="462">
        <v>1</v>
      </c>
      <c r="H33" s="463" t="s">
        <v>181</v>
      </c>
      <c r="I33" s="336" t="s">
        <v>446</v>
      </c>
      <c r="J33" s="500">
        <v>145.6</v>
      </c>
      <c r="K33" s="465">
        <f>1.1*G33*J33</f>
        <v>160.16</v>
      </c>
      <c r="M33" s="79"/>
      <c r="O33" s="79"/>
      <c r="P33" s="79"/>
      <c r="Q33" s="48"/>
      <c r="R33" s="48"/>
      <c r="T33" s="86"/>
    </row>
    <row r="34" spans="2:20" ht="15" customHeight="1" thickBot="1">
      <c r="B34" s="489" t="s">
        <v>31</v>
      </c>
      <c r="C34" s="501" t="s">
        <v>188</v>
      </c>
      <c r="D34" s="502"/>
      <c r="E34" s="503"/>
      <c r="F34" s="504"/>
      <c r="G34" s="493">
        <v>1</v>
      </c>
      <c r="H34" s="472" t="s">
        <v>181</v>
      </c>
      <c r="I34" s="505" t="s">
        <v>447</v>
      </c>
      <c r="J34" s="506">
        <v>138.07</v>
      </c>
      <c r="K34" s="475">
        <f>1.1*G34*J34</f>
        <v>151.87700000000001</v>
      </c>
      <c r="M34" s="79"/>
      <c r="O34" s="79"/>
      <c r="P34" s="79"/>
      <c r="Q34" s="48"/>
      <c r="R34" s="48"/>
      <c r="T34" s="86"/>
    </row>
    <row r="35" spans="2:20" ht="15" customHeight="1" thickBot="1">
      <c r="B35" s="226" t="s">
        <v>18</v>
      </c>
      <c r="C35" s="81"/>
      <c r="D35" s="81"/>
      <c r="E35" s="81"/>
      <c r="F35" s="81"/>
      <c r="G35" s="82"/>
      <c r="H35" s="81"/>
      <c r="I35" s="81"/>
      <c r="J35" s="82"/>
      <c r="K35" s="227">
        <f>SUM(K29:K34)</f>
        <v>1060.96</v>
      </c>
      <c r="M35" s="79"/>
      <c r="O35" s="79"/>
      <c r="P35" s="79"/>
      <c r="Q35" s="48"/>
      <c r="R35" s="48"/>
    </row>
    <row r="36" spans="2:20" ht="15" customHeight="1" thickBot="1">
      <c r="B36" s="547" t="s">
        <v>154</v>
      </c>
      <c r="C36" s="548"/>
      <c r="D36" s="548"/>
      <c r="E36" s="548"/>
      <c r="F36" s="548"/>
      <c r="G36" s="549"/>
      <c r="H36" s="548"/>
      <c r="I36" s="548"/>
      <c r="J36" s="549"/>
      <c r="K36" s="550">
        <f>K15+K27+K35</f>
        <v>4453.5730000000003</v>
      </c>
      <c r="Q36" s="48"/>
      <c r="R36" s="48"/>
    </row>
    <row r="37" spans="2:20" ht="15" customHeight="1" thickBot="1">
      <c r="B37" s="551" t="s">
        <v>448</v>
      </c>
      <c r="C37" s="552"/>
      <c r="D37" s="552"/>
      <c r="E37" s="552"/>
      <c r="F37" s="552"/>
      <c r="G37" s="553"/>
      <c r="H37" s="552"/>
      <c r="I37" s="552"/>
      <c r="J37" s="553"/>
      <c r="K37" s="554">
        <f>1*K36</f>
        <v>4453.5730000000003</v>
      </c>
    </row>
    <row r="38" spans="2:20" s="510" customFormat="1" ht="15" customHeight="1">
      <c r="B38" s="507" t="s">
        <v>449</v>
      </c>
      <c r="C38" s="508"/>
      <c r="D38" s="508"/>
      <c r="E38" s="508"/>
      <c r="F38" s="508"/>
      <c r="G38" s="508"/>
      <c r="H38" s="508"/>
      <c r="I38" s="508"/>
      <c r="J38" s="508"/>
      <c r="K38" s="509"/>
    </row>
    <row r="39" spans="2:20" s="511" customFormat="1" ht="15" customHeight="1" thickBot="1">
      <c r="B39" s="432" t="s">
        <v>590</v>
      </c>
      <c r="C39" s="744"/>
      <c r="D39" s="744"/>
      <c r="E39" s="744"/>
      <c r="F39" s="744"/>
      <c r="G39" s="744"/>
      <c r="H39" s="744"/>
      <c r="I39" s="744"/>
      <c r="J39" s="744"/>
      <c r="K39" s="745"/>
    </row>
  </sheetData>
  <mergeCells count="11">
    <mergeCell ref="C19:F19"/>
    <mergeCell ref="B2:K2"/>
    <mergeCell ref="B3:K3"/>
    <mergeCell ref="B4:K4"/>
    <mergeCell ref="B8:B9"/>
    <mergeCell ref="C8:F9"/>
    <mergeCell ref="G8:G9"/>
    <mergeCell ref="H8:H9"/>
    <mergeCell ref="I8:I9"/>
    <mergeCell ref="J8:J9"/>
    <mergeCell ref="K8:K9"/>
  </mergeCells>
  <printOptions horizontalCentered="1"/>
  <pageMargins left="0.98425196850393704" right="1.1811023622047245" top="1.1811023622047245" bottom="0.98425196850393704" header="0.31496062992125984" footer="0.31496062992125984"/>
  <pageSetup paperSize="9" scale="70" orientation="landscape" horizontalDpi="1200" verticalDpi="1200" r:id="rId1"/>
</worksheet>
</file>

<file path=xl/worksheets/sheet7.xml><?xml version="1.0" encoding="utf-8"?>
<worksheet xmlns="http://schemas.openxmlformats.org/spreadsheetml/2006/main" xmlns:r="http://schemas.openxmlformats.org/officeDocument/2006/relationships">
  <sheetPr>
    <pageSetUpPr fitToPage="1"/>
  </sheetPr>
  <dimension ref="B1:M18"/>
  <sheetViews>
    <sheetView workbookViewId="0">
      <selection activeCell="D42" sqref="D42"/>
    </sheetView>
  </sheetViews>
  <sheetFormatPr defaultRowHeight="14.85" customHeight="1"/>
  <cols>
    <col min="1" max="1" width="9.140625" style="311"/>
    <col min="2" max="2" width="8" style="311" customWidth="1"/>
    <col min="3" max="3" width="22" style="311" customWidth="1"/>
    <col min="4" max="4" width="62.7109375" style="311" customWidth="1"/>
    <col min="5" max="5" width="5.7109375" style="311" customWidth="1"/>
    <col min="6" max="6" width="4.28515625" style="311" customWidth="1"/>
    <col min="7" max="7" width="8" style="311" customWidth="1"/>
    <col min="8" max="8" width="8.28515625" style="311" customWidth="1"/>
    <col min="9" max="9" width="14.5703125" style="88" customWidth="1"/>
    <col min="10" max="10" width="21.5703125" style="88" customWidth="1"/>
    <col min="11" max="11" width="19.140625" style="88" customWidth="1"/>
    <col min="12" max="250" width="9.140625" style="311"/>
    <col min="251" max="251" width="8" style="311" customWidth="1"/>
    <col min="252" max="252" width="62.7109375" style="311" customWidth="1"/>
    <col min="253" max="253" width="5.7109375" style="311" customWidth="1"/>
    <col min="254" max="254" width="4.28515625" style="311" customWidth="1"/>
    <col min="255" max="255" width="8" style="311" customWidth="1"/>
    <col min="256" max="256" width="14.5703125" style="311" customWidth="1"/>
    <col min="257" max="257" width="8.28515625" style="311" customWidth="1"/>
    <col min="258" max="258" width="22" style="311" customWidth="1"/>
    <col min="259" max="259" width="21.5703125" style="311" customWidth="1"/>
    <col min="260" max="260" width="19.140625" style="311" customWidth="1"/>
    <col min="261" max="261" width="9.140625" style="311"/>
    <col min="262" max="262" width="8.85546875" style="311" customWidth="1"/>
    <col min="263" max="263" width="9.140625" style="311"/>
    <col min="264" max="265" width="9.28515625" style="311" customWidth="1"/>
    <col min="266" max="506" width="9.140625" style="311"/>
    <col min="507" max="507" width="8" style="311" customWidth="1"/>
    <col min="508" max="508" width="62.7109375" style="311" customWidth="1"/>
    <col min="509" max="509" width="5.7109375" style="311" customWidth="1"/>
    <col min="510" max="510" width="4.28515625" style="311" customWidth="1"/>
    <col min="511" max="511" width="8" style="311" customWidth="1"/>
    <col min="512" max="512" width="14.5703125" style="311" customWidth="1"/>
    <col min="513" max="513" width="8.28515625" style="311" customWidth="1"/>
    <col min="514" max="514" width="22" style="311" customWidth="1"/>
    <col min="515" max="515" width="21.5703125" style="311" customWidth="1"/>
    <col min="516" max="516" width="19.140625" style="311" customWidth="1"/>
    <col min="517" max="517" width="9.140625" style="311"/>
    <col min="518" max="518" width="8.85546875" style="311" customWidth="1"/>
    <col min="519" max="519" width="9.140625" style="311"/>
    <col min="520" max="521" width="9.28515625" style="311" customWidth="1"/>
    <col min="522" max="762" width="9.140625" style="311"/>
    <col min="763" max="763" width="8" style="311" customWidth="1"/>
    <col min="764" max="764" width="62.7109375" style="311" customWidth="1"/>
    <col min="765" max="765" width="5.7109375" style="311" customWidth="1"/>
    <col min="766" max="766" width="4.28515625" style="311" customWidth="1"/>
    <col min="767" max="767" width="8" style="311" customWidth="1"/>
    <col min="768" max="768" width="14.5703125" style="311" customWidth="1"/>
    <col min="769" max="769" width="8.28515625" style="311" customWidth="1"/>
    <col min="770" max="770" width="22" style="311" customWidth="1"/>
    <col min="771" max="771" width="21.5703125" style="311" customWidth="1"/>
    <col min="772" max="772" width="19.140625" style="311" customWidth="1"/>
    <col min="773" max="773" width="9.140625" style="311"/>
    <col min="774" max="774" width="8.85546875" style="311" customWidth="1"/>
    <col min="775" max="775" width="9.140625" style="311"/>
    <col min="776" max="777" width="9.28515625" style="311" customWidth="1"/>
    <col min="778" max="1018" width="9.140625" style="311"/>
    <col min="1019" max="1019" width="8" style="311" customWidth="1"/>
    <col min="1020" max="1020" width="62.7109375" style="311" customWidth="1"/>
    <col min="1021" max="1021" width="5.7109375" style="311" customWidth="1"/>
    <col min="1022" max="1022" width="4.28515625" style="311" customWidth="1"/>
    <col min="1023" max="1023" width="8" style="311" customWidth="1"/>
    <col min="1024" max="1024" width="14.5703125" style="311" customWidth="1"/>
    <col min="1025" max="1025" width="8.28515625" style="311" customWidth="1"/>
    <col min="1026" max="1026" width="22" style="311" customWidth="1"/>
    <col min="1027" max="1027" width="21.5703125" style="311" customWidth="1"/>
    <col min="1028" max="1028" width="19.140625" style="311" customWidth="1"/>
    <col min="1029" max="1029" width="9.140625" style="311"/>
    <col min="1030" max="1030" width="8.85546875" style="311" customWidth="1"/>
    <col min="1031" max="1031" width="9.140625" style="311"/>
    <col min="1032" max="1033" width="9.28515625" style="311" customWidth="1"/>
    <col min="1034" max="1274" width="9.140625" style="311"/>
    <col min="1275" max="1275" width="8" style="311" customWidth="1"/>
    <col min="1276" max="1276" width="62.7109375" style="311" customWidth="1"/>
    <col min="1277" max="1277" width="5.7109375" style="311" customWidth="1"/>
    <col min="1278" max="1278" width="4.28515625" style="311" customWidth="1"/>
    <col min="1279" max="1279" width="8" style="311" customWidth="1"/>
    <col min="1280" max="1280" width="14.5703125" style="311" customWidth="1"/>
    <col min="1281" max="1281" width="8.28515625" style="311" customWidth="1"/>
    <col min="1282" max="1282" width="22" style="311" customWidth="1"/>
    <col min="1283" max="1283" width="21.5703125" style="311" customWidth="1"/>
    <col min="1284" max="1284" width="19.140625" style="311" customWidth="1"/>
    <col min="1285" max="1285" width="9.140625" style="311"/>
    <col min="1286" max="1286" width="8.85546875" style="311" customWidth="1"/>
    <col min="1287" max="1287" width="9.140625" style="311"/>
    <col min="1288" max="1289" width="9.28515625" style="311" customWidth="1"/>
    <col min="1290" max="1530" width="9.140625" style="311"/>
    <col min="1531" max="1531" width="8" style="311" customWidth="1"/>
    <col min="1532" max="1532" width="62.7109375" style="311" customWidth="1"/>
    <col min="1533" max="1533" width="5.7109375" style="311" customWidth="1"/>
    <col min="1534" max="1534" width="4.28515625" style="311" customWidth="1"/>
    <col min="1535" max="1535" width="8" style="311" customWidth="1"/>
    <col min="1536" max="1536" width="14.5703125" style="311" customWidth="1"/>
    <col min="1537" max="1537" width="8.28515625" style="311" customWidth="1"/>
    <col min="1538" max="1538" width="22" style="311" customWidth="1"/>
    <col min="1539" max="1539" width="21.5703125" style="311" customWidth="1"/>
    <col min="1540" max="1540" width="19.140625" style="311" customWidth="1"/>
    <col min="1541" max="1541" width="9.140625" style="311"/>
    <col min="1542" max="1542" width="8.85546875" style="311" customWidth="1"/>
    <col min="1543" max="1543" width="9.140625" style="311"/>
    <col min="1544" max="1545" width="9.28515625" style="311" customWidth="1"/>
    <col min="1546" max="1786" width="9.140625" style="311"/>
    <col min="1787" max="1787" width="8" style="311" customWidth="1"/>
    <col min="1788" max="1788" width="62.7109375" style="311" customWidth="1"/>
    <col min="1789" max="1789" width="5.7109375" style="311" customWidth="1"/>
    <col min="1790" max="1790" width="4.28515625" style="311" customWidth="1"/>
    <col min="1791" max="1791" width="8" style="311" customWidth="1"/>
    <col min="1792" max="1792" width="14.5703125" style="311" customWidth="1"/>
    <col min="1793" max="1793" width="8.28515625" style="311" customWidth="1"/>
    <col min="1794" max="1794" width="22" style="311" customWidth="1"/>
    <col min="1795" max="1795" width="21.5703125" style="311" customWidth="1"/>
    <col min="1796" max="1796" width="19.140625" style="311" customWidth="1"/>
    <col min="1797" max="1797" width="9.140625" style="311"/>
    <col min="1798" max="1798" width="8.85546875" style="311" customWidth="1"/>
    <col min="1799" max="1799" width="9.140625" style="311"/>
    <col min="1800" max="1801" width="9.28515625" style="311" customWidth="1"/>
    <col min="1802" max="2042" width="9.140625" style="311"/>
    <col min="2043" max="2043" width="8" style="311" customWidth="1"/>
    <col min="2044" max="2044" width="62.7109375" style="311" customWidth="1"/>
    <col min="2045" max="2045" width="5.7109375" style="311" customWidth="1"/>
    <col min="2046" max="2046" width="4.28515625" style="311" customWidth="1"/>
    <col min="2047" max="2047" width="8" style="311" customWidth="1"/>
    <col min="2048" max="2048" width="14.5703125" style="311" customWidth="1"/>
    <col min="2049" max="2049" width="8.28515625" style="311" customWidth="1"/>
    <col min="2050" max="2050" width="22" style="311" customWidth="1"/>
    <col min="2051" max="2051" width="21.5703125" style="311" customWidth="1"/>
    <col min="2052" max="2052" width="19.140625" style="311" customWidth="1"/>
    <col min="2053" max="2053" width="9.140625" style="311"/>
    <col min="2054" max="2054" width="8.85546875" style="311" customWidth="1"/>
    <col min="2055" max="2055" width="9.140625" style="311"/>
    <col min="2056" max="2057" width="9.28515625" style="311" customWidth="1"/>
    <col min="2058" max="2298" width="9.140625" style="311"/>
    <col min="2299" max="2299" width="8" style="311" customWidth="1"/>
    <col min="2300" max="2300" width="62.7109375" style="311" customWidth="1"/>
    <col min="2301" max="2301" width="5.7109375" style="311" customWidth="1"/>
    <col min="2302" max="2302" width="4.28515625" style="311" customWidth="1"/>
    <col min="2303" max="2303" width="8" style="311" customWidth="1"/>
    <col min="2304" max="2304" width="14.5703125" style="311" customWidth="1"/>
    <col min="2305" max="2305" width="8.28515625" style="311" customWidth="1"/>
    <col min="2306" max="2306" width="22" style="311" customWidth="1"/>
    <col min="2307" max="2307" width="21.5703125" style="311" customWidth="1"/>
    <col min="2308" max="2308" width="19.140625" style="311" customWidth="1"/>
    <col min="2309" max="2309" width="9.140625" style="311"/>
    <col min="2310" max="2310" width="8.85546875" style="311" customWidth="1"/>
    <col min="2311" max="2311" width="9.140625" style="311"/>
    <col min="2312" max="2313" width="9.28515625" style="311" customWidth="1"/>
    <col min="2314" max="2554" width="9.140625" style="311"/>
    <col min="2555" max="2555" width="8" style="311" customWidth="1"/>
    <col min="2556" max="2556" width="62.7109375" style="311" customWidth="1"/>
    <col min="2557" max="2557" width="5.7109375" style="311" customWidth="1"/>
    <col min="2558" max="2558" width="4.28515625" style="311" customWidth="1"/>
    <col min="2559" max="2559" width="8" style="311" customWidth="1"/>
    <col min="2560" max="2560" width="14.5703125" style="311" customWidth="1"/>
    <col min="2561" max="2561" width="8.28515625" style="311" customWidth="1"/>
    <col min="2562" max="2562" width="22" style="311" customWidth="1"/>
    <col min="2563" max="2563" width="21.5703125" style="311" customWidth="1"/>
    <col min="2564" max="2564" width="19.140625" style="311" customWidth="1"/>
    <col min="2565" max="2565" width="9.140625" style="311"/>
    <col min="2566" max="2566" width="8.85546875" style="311" customWidth="1"/>
    <col min="2567" max="2567" width="9.140625" style="311"/>
    <col min="2568" max="2569" width="9.28515625" style="311" customWidth="1"/>
    <col min="2570" max="2810" width="9.140625" style="311"/>
    <col min="2811" max="2811" width="8" style="311" customWidth="1"/>
    <col min="2812" max="2812" width="62.7109375" style="311" customWidth="1"/>
    <col min="2813" max="2813" width="5.7109375" style="311" customWidth="1"/>
    <col min="2814" max="2814" width="4.28515625" style="311" customWidth="1"/>
    <col min="2815" max="2815" width="8" style="311" customWidth="1"/>
    <col min="2816" max="2816" width="14.5703125" style="311" customWidth="1"/>
    <col min="2817" max="2817" width="8.28515625" style="311" customWidth="1"/>
    <col min="2818" max="2818" width="22" style="311" customWidth="1"/>
    <col min="2819" max="2819" width="21.5703125" style="311" customWidth="1"/>
    <col min="2820" max="2820" width="19.140625" style="311" customWidth="1"/>
    <col min="2821" max="2821" width="9.140625" style="311"/>
    <col min="2822" max="2822" width="8.85546875" style="311" customWidth="1"/>
    <col min="2823" max="2823" width="9.140625" style="311"/>
    <col min="2824" max="2825" width="9.28515625" style="311" customWidth="1"/>
    <col min="2826" max="3066" width="9.140625" style="311"/>
    <col min="3067" max="3067" width="8" style="311" customWidth="1"/>
    <col min="3068" max="3068" width="62.7109375" style="311" customWidth="1"/>
    <col min="3069" max="3069" width="5.7109375" style="311" customWidth="1"/>
    <col min="3070" max="3070" width="4.28515625" style="311" customWidth="1"/>
    <col min="3071" max="3071" width="8" style="311" customWidth="1"/>
    <col min="3072" max="3072" width="14.5703125" style="311" customWidth="1"/>
    <col min="3073" max="3073" width="8.28515625" style="311" customWidth="1"/>
    <col min="3074" max="3074" width="22" style="311" customWidth="1"/>
    <col min="3075" max="3075" width="21.5703125" style="311" customWidth="1"/>
    <col min="3076" max="3076" width="19.140625" style="311" customWidth="1"/>
    <col min="3077" max="3077" width="9.140625" style="311"/>
    <col min="3078" max="3078" width="8.85546875" style="311" customWidth="1"/>
    <col min="3079" max="3079" width="9.140625" style="311"/>
    <col min="3080" max="3081" width="9.28515625" style="311" customWidth="1"/>
    <col min="3082" max="3322" width="9.140625" style="311"/>
    <col min="3323" max="3323" width="8" style="311" customWidth="1"/>
    <col min="3324" max="3324" width="62.7109375" style="311" customWidth="1"/>
    <col min="3325" max="3325" width="5.7109375" style="311" customWidth="1"/>
    <col min="3326" max="3326" width="4.28515625" style="311" customWidth="1"/>
    <col min="3327" max="3327" width="8" style="311" customWidth="1"/>
    <col min="3328" max="3328" width="14.5703125" style="311" customWidth="1"/>
    <col min="3329" max="3329" width="8.28515625" style="311" customWidth="1"/>
    <col min="3330" max="3330" width="22" style="311" customWidth="1"/>
    <col min="3331" max="3331" width="21.5703125" style="311" customWidth="1"/>
    <col min="3332" max="3332" width="19.140625" style="311" customWidth="1"/>
    <col min="3333" max="3333" width="9.140625" style="311"/>
    <col min="3334" max="3334" width="8.85546875" style="311" customWidth="1"/>
    <col min="3335" max="3335" width="9.140625" style="311"/>
    <col min="3336" max="3337" width="9.28515625" style="311" customWidth="1"/>
    <col min="3338" max="3578" width="9.140625" style="311"/>
    <col min="3579" max="3579" width="8" style="311" customWidth="1"/>
    <col min="3580" max="3580" width="62.7109375" style="311" customWidth="1"/>
    <col min="3581" max="3581" width="5.7109375" style="311" customWidth="1"/>
    <col min="3582" max="3582" width="4.28515625" style="311" customWidth="1"/>
    <col min="3583" max="3583" width="8" style="311" customWidth="1"/>
    <col min="3584" max="3584" width="14.5703125" style="311" customWidth="1"/>
    <col min="3585" max="3585" width="8.28515625" style="311" customWidth="1"/>
    <col min="3586" max="3586" width="22" style="311" customWidth="1"/>
    <col min="3587" max="3587" width="21.5703125" style="311" customWidth="1"/>
    <col min="3588" max="3588" width="19.140625" style="311" customWidth="1"/>
    <col min="3589" max="3589" width="9.140625" style="311"/>
    <col min="3590" max="3590" width="8.85546875" style="311" customWidth="1"/>
    <col min="3591" max="3591" width="9.140625" style="311"/>
    <col min="3592" max="3593" width="9.28515625" style="311" customWidth="1"/>
    <col min="3594" max="3834" width="9.140625" style="311"/>
    <col min="3835" max="3835" width="8" style="311" customWidth="1"/>
    <col min="3836" max="3836" width="62.7109375" style="311" customWidth="1"/>
    <col min="3837" max="3837" width="5.7109375" style="311" customWidth="1"/>
    <col min="3838" max="3838" width="4.28515625" style="311" customWidth="1"/>
    <col min="3839" max="3839" width="8" style="311" customWidth="1"/>
    <col min="3840" max="3840" width="14.5703125" style="311" customWidth="1"/>
    <col min="3841" max="3841" width="8.28515625" style="311" customWidth="1"/>
    <col min="3842" max="3842" width="22" style="311" customWidth="1"/>
    <col min="3843" max="3843" width="21.5703125" style="311" customWidth="1"/>
    <col min="3844" max="3844" width="19.140625" style="311" customWidth="1"/>
    <col min="3845" max="3845" width="9.140625" style="311"/>
    <col min="3846" max="3846" width="8.85546875" style="311" customWidth="1"/>
    <col min="3847" max="3847" width="9.140625" style="311"/>
    <col min="3848" max="3849" width="9.28515625" style="311" customWidth="1"/>
    <col min="3850" max="4090" width="9.140625" style="311"/>
    <col min="4091" max="4091" width="8" style="311" customWidth="1"/>
    <col min="4092" max="4092" width="62.7109375" style="311" customWidth="1"/>
    <col min="4093" max="4093" width="5.7109375" style="311" customWidth="1"/>
    <col min="4094" max="4094" width="4.28515625" style="311" customWidth="1"/>
    <col min="4095" max="4095" width="8" style="311" customWidth="1"/>
    <col min="4096" max="4096" width="14.5703125" style="311" customWidth="1"/>
    <col min="4097" max="4097" width="8.28515625" style="311" customWidth="1"/>
    <col min="4098" max="4098" width="22" style="311" customWidth="1"/>
    <col min="4099" max="4099" width="21.5703125" style="311" customWidth="1"/>
    <col min="4100" max="4100" width="19.140625" style="311" customWidth="1"/>
    <col min="4101" max="4101" width="9.140625" style="311"/>
    <col min="4102" max="4102" width="8.85546875" style="311" customWidth="1"/>
    <col min="4103" max="4103" width="9.140625" style="311"/>
    <col min="4104" max="4105" width="9.28515625" style="311" customWidth="1"/>
    <col min="4106" max="4346" width="9.140625" style="311"/>
    <col min="4347" max="4347" width="8" style="311" customWidth="1"/>
    <col min="4348" max="4348" width="62.7109375" style="311" customWidth="1"/>
    <col min="4349" max="4349" width="5.7109375" style="311" customWidth="1"/>
    <col min="4350" max="4350" width="4.28515625" style="311" customWidth="1"/>
    <col min="4351" max="4351" width="8" style="311" customWidth="1"/>
    <col min="4352" max="4352" width="14.5703125" style="311" customWidth="1"/>
    <col min="4353" max="4353" width="8.28515625" style="311" customWidth="1"/>
    <col min="4354" max="4354" width="22" style="311" customWidth="1"/>
    <col min="4355" max="4355" width="21.5703125" style="311" customWidth="1"/>
    <col min="4356" max="4356" width="19.140625" style="311" customWidth="1"/>
    <col min="4357" max="4357" width="9.140625" style="311"/>
    <col min="4358" max="4358" width="8.85546875" style="311" customWidth="1"/>
    <col min="4359" max="4359" width="9.140625" style="311"/>
    <col min="4360" max="4361" width="9.28515625" style="311" customWidth="1"/>
    <col min="4362" max="4602" width="9.140625" style="311"/>
    <col min="4603" max="4603" width="8" style="311" customWidth="1"/>
    <col min="4604" max="4604" width="62.7109375" style="311" customWidth="1"/>
    <col min="4605" max="4605" width="5.7109375" style="311" customWidth="1"/>
    <col min="4606" max="4606" width="4.28515625" style="311" customWidth="1"/>
    <col min="4607" max="4607" width="8" style="311" customWidth="1"/>
    <col min="4608" max="4608" width="14.5703125" style="311" customWidth="1"/>
    <col min="4609" max="4609" width="8.28515625" style="311" customWidth="1"/>
    <col min="4610" max="4610" width="22" style="311" customWidth="1"/>
    <col min="4611" max="4611" width="21.5703125" style="311" customWidth="1"/>
    <col min="4612" max="4612" width="19.140625" style="311" customWidth="1"/>
    <col min="4613" max="4613" width="9.140625" style="311"/>
    <col min="4614" max="4614" width="8.85546875" style="311" customWidth="1"/>
    <col min="4615" max="4615" width="9.140625" style="311"/>
    <col min="4616" max="4617" width="9.28515625" style="311" customWidth="1"/>
    <col min="4618" max="4858" width="9.140625" style="311"/>
    <col min="4859" max="4859" width="8" style="311" customWidth="1"/>
    <col min="4860" max="4860" width="62.7109375" style="311" customWidth="1"/>
    <col min="4861" max="4861" width="5.7109375" style="311" customWidth="1"/>
    <col min="4862" max="4862" width="4.28515625" style="311" customWidth="1"/>
    <col min="4863" max="4863" width="8" style="311" customWidth="1"/>
    <col min="4864" max="4864" width="14.5703125" style="311" customWidth="1"/>
    <col min="4865" max="4865" width="8.28515625" style="311" customWidth="1"/>
    <col min="4866" max="4866" width="22" style="311" customWidth="1"/>
    <col min="4867" max="4867" width="21.5703125" style="311" customWidth="1"/>
    <col min="4868" max="4868" width="19.140625" style="311" customWidth="1"/>
    <col min="4869" max="4869" width="9.140625" style="311"/>
    <col min="4870" max="4870" width="8.85546875" style="311" customWidth="1"/>
    <col min="4871" max="4871" width="9.140625" style="311"/>
    <col min="4872" max="4873" width="9.28515625" style="311" customWidth="1"/>
    <col min="4874" max="5114" width="9.140625" style="311"/>
    <col min="5115" max="5115" width="8" style="311" customWidth="1"/>
    <col min="5116" max="5116" width="62.7109375" style="311" customWidth="1"/>
    <col min="5117" max="5117" width="5.7109375" style="311" customWidth="1"/>
    <col min="5118" max="5118" width="4.28515625" style="311" customWidth="1"/>
    <col min="5119" max="5119" width="8" style="311" customWidth="1"/>
    <col min="5120" max="5120" width="14.5703125" style="311" customWidth="1"/>
    <col min="5121" max="5121" width="8.28515625" style="311" customWidth="1"/>
    <col min="5122" max="5122" width="22" style="311" customWidth="1"/>
    <col min="5123" max="5123" width="21.5703125" style="311" customWidth="1"/>
    <col min="5124" max="5124" width="19.140625" style="311" customWidth="1"/>
    <col min="5125" max="5125" width="9.140625" style="311"/>
    <col min="5126" max="5126" width="8.85546875" style="311" customWidth="1"/>
    <col min="5127" max="5127" width="9.140625" style="311"/>
    <col min="5128" max="5129" width="9.28515625" style="311" customWidth="1"/>
    <col min="5130" max="5370" width="9.140625" style="311"/>
    <col min="5371" max="5371" width="8" style="311" customWidth="1"/>
    <col min="5372" max="5372" width="62.7109375" style="311" customWidth="1"/>
    <col min="5373" max="5373" width="5.7109375" style="311" customWidth="1"/>
    <col min="5374" max="5374" width="4.28515625" style="311" customWidth="1"/>
    <col min="5375" max="5375" width="8" style="311" customWidth="1"/>
    <col min="5376" max="5376" width="14.5703125" style="311" customWidth="1"/>
    <col min="5377" max="5377" width="8.28515625" style="311" customWidth="1"/>
    <col min="5378" max="5378" width="22" style="311" customWidth="1"/>
    <col min="5379" max="5379" width="21.5703125" style="311" customWidth="1"/>
    <col min="5380" max="5380" width="19.140625" style="311" customWidth="1"/>
    <col min="5381" max="5381" width="9.140625" style="311"/>
    <col min="5382" max="5382" width="8.85546875" style="311" customWidth="1"/>
    <col min="5383" max="5383" width="9.140625" style="311"/>
    <col min="5384" max="5385" width="9.28515625" style="311" customWidth="1"/>
    <col min="5386" max="5626" width="9.140625" style="311"/>
    <col min="5627" max="5627" width="8" style="311" customWidth="1"/>
    <col min="5628" max="5628" width="62.7109375" style="311" customWidth="1"/>
    <col min="5629" max="5629" width="5.7109375" style="311" customWidth="1"/>
    <col min="5630" max="5630" width="4.28515625" style="311" customWidth="1"/>
    <col min="5631" max="5631" width="8" style="311" customWidth="1"/>
    <col min="5632" max="5632" width="14.5703125" style="311" customWidth="1"/>
    <col min="5633" max="5633" width="8.28515625" style="311" customWidth="1"/>
    <col min="5634" max="5634" width="22" style="311" customWidth="1"/>
    <col min="5635" max="5635" width="21.5703125" style="311" customWidth="1"/>
    <col min="5636" max="5636" width="19.140625" style="311" customWidth="1"/>
    <col min="5637" max="5637" width="9.140625" style="311"/>
    <col min="5638" max="5638" width="8.85546875" style="311" customWidth="1"/>
    <col min="5639" max="5639" width="9.140625" style="311"/>
    <col min="5640" max="5641" width="9.28515625" style="311" customWidth="1"/>
    <col min="5642" max="5882" width="9.140625" style="311"/>
    <col min="5883" max="5883" width="8" style="311" customWidth="1"/>
    <col min="5884" max="5884" width="62.7109375" style="311" customWidth="1"/>
    <col min="5885" max="5885" width="5.7109375" style="311" customWidth="1"/>
    <col min="5886" max="5886" width="4.28515625" style="311" customWidth="1"/>
    <col min="5887" max="5887" width="8" style="311" customWidth="1"/>
    <col min="5888" max="5888" width="14.5703125" style="311" customWidth="1"/>
    <col min="5889" max="5889" width="8.28515625" style="311" customWidth="1"/>
    <col min="5890" max="5890" width="22" style="311" customWidth="1"/>
    <col min="5891" max="5891" width="21.5703125" style="311" customWidth="1"/>
    <col min="5892" max="5892" width="19.140625" style="311" customWidth="1"/>
    <col min="5893" max="5893" width="9.140625" style="311"/>
    <col min="5894" max="5894" width="8.85546875" style="311" customWidth="1"/>
    <col min="5895" max="5895" width="9.140625" style="311"/>
    <col min="5896" max="5897" width="9.28515625" style="311" customWidth="1"/>
    <col min="5898" max="6138" width="9.140625" style="311"/>
    <col min="6139" max="6139" width="8" style="311" customWidth="1"/>
    <col min="6140" max="6140" width="62.7109375" style="311" customWidth="1"/>
    <col min="6141" max="6141" width="5.7109375" style="311" customWidth="1"/>
    <col min="6142" max="6142" width="4.28515625" style="311" customWidth="1"/>
    <col min="6143" max="6143" width="8" style="311" customWidth="1"/>
    <col min="6144" max="6144" width="14.5703125" style="311" customWidth="1"/>
    <col min="6145" max="6145" width="8.28515625" style="311" customWidth="1"/>
    <col min="6146" max="6146" width="22" style="311" customWidth="1"/>
    <col min="6147" max="6147" width="21.5703125" style="311" customWidth="1"/>
    <col min="6148" max="6148" width="19.140625" style="311" customWidth="1"/>
    <col min="6149" max="6149" width="9.140625" style="311"/>
    <col min="6150" max="6150" width="8.85546875" style="311" customWidth="1"/>
    <col min="6151" max="6151" width="9.140625" style="311"/>
    <col min="6152" max="6153" width="9.28515625" style="311" customWidth="1"/>
    <col min="6154" max="6394" width="9.140625" style="311"/>
    <col min="6395" max="6395" width="8" style="311" customWidth="1"/>
    <col min="6396" max="6396" width="62.7109375" style="311" customWidth="1"/>
    <col min="6397" max="6397" width="5.7109375" style="311" customWidth="1"/>
    <col min="6398" max="6398" width="4.28515625" style="311" customWidth="1"/>
    <col min="6399" max="6399" width="8" style="311" customWidth="1"/>
    <col min="6400" max="6400" width="14.5703125" style="311" customWidth="1"/>
    <col min="6401" max="6401" width="8.28515625" style="311" customWidth="1"/>
    <col min="6402" max="6402" width="22" style="311" customWidth="1"/>
    <col min="6403" max="6403" width="21.5703125" style="311" customWidth="1"/>
    <col min="6404" max="6404" width="19.140625" style="311" customWidth="1"/>
    <col min="6405" max="6405" width="9.140625" style="311"/>
    <col min="6406" max="6406" width="8.85546875" style="311" customWidth="1"/>
    <col min="6407" max="6407" width="9.140625" style="311"/>
    <col min="6408" max="6409" width="9.28515625" style="311" customWidth="1"/>
    <col min="6410" max="6650" width="9.140625" style="311"/>
    <col min="6651" max="6651" width="8" style="311" customWidth="1"/>
    <col min="6652" max="6652" width="62.7109375" style="311" customWidth="1"/>
    <col min="6653" max="6653" width="5.7109375" style="311" customWidth="1"/>
    <col min="6654" max="6654" width="4.28515625" style="311" customWidth="1"/>
    <col min="6655" max="6655" width="8" style="311" customWidth="1"/>
    <col min="6656" max="6656" width="14.5703125" style="311" customWidth="1"/>
    <col min="6657" max="6657" width="8.28515625" style="311" customWidth="1"/>
    <col min="6658" max="6658" width="22" style="311" customWidth="1"/>
    <col min="6659" max="6659" width="21.5703125" style="311" customWidth="1"/>
    <col min="6660" max="6660" width="19.140625" style="311" customWidth="1"/>
    <col min="6661" max="6661" width="9.140625" style="311"/>
    <col min="6662" max="6662" width="8.85546875" style="311" customWidth="1"/>
    <col min="6663" max="6663" width="9.140625" style="311"/>
    <col min="6664" max="6665" width="9.28515625" style="311" customWidth="1"/>
    <col min="6666" max="6906" width="9.140625" style="311"/>
    <col min="6907" max="6907" width="8" style="311" customWidth="1"/>
    <col min="6908" max="6908" width="62.7109375" style="311" customWidth="1"/>
    <col min="6909" max="6909" width="5.7109375" style="311" customWidth="1"/>
    <col min="6910" max="6910" width="4.28515625" style="311" customWidth="1"/>
    <col min="6911" max="6911" width="8" style="311" customWidth="1"/>
    <col min="6912" max="6912" width="14.5703125" style="311" customWidth="1"/>
    <col min="6913" max="6913" width="8.28515625" style="311" customWidth="1"/>
    <col min="6914" max="6914" width="22" style="311" customWidth="1"/>
    <col min="6915" max="6915" width="21.5703125" style="311" customWidth="1"/>
    <col min="6916" max="6916" width="19.140625" style="311" customWidth="1"/>
    <col min="6917" max="6917" width="9.140625" style="311"/>
    <col min="6918" max="6918" width="8.85546875" style="311" customWidth="1"/>
    <col min="6919" max="6919" width="9.140625" style="311"/>
    <col min="6920" max="6921" width="9.28515625" style="311" customWidth="1"/>
    <col min="6922" max="7162" width="9.140625" style="311"/>
    <col min="7163" max="7163" width="8" style="311" customWidth="1"/>
    <col min="7164" max="7164" width="62.7109375" style="311" customWidth="1"/>
    <col min="7165" max="7165" width="5.7109375" style="311" customWidth="1"/>
    <col min="7166" max="7166" width="4.28515625" style="311" customWidth="1"/>
    <col min="7167" max="7167" width="8" style="311" customWidth="1"/>
    <col min="7168" max="7168" width="14.5703125" style="311" customWidth="1"/>
    <col min="7169" max="7169" width="8.28515625" style="311" customWidth="1"/>
    <col min="7170" max="7170" width="22" style="311" customWidth="1"/>
    <col min="7171" max="7171" width="21.5703125" style="311" customWidth="1"/>
    <col min="7172" max="7172" width="19.140625" style="311" customWidth="1"/>
    <col min="7173" max="7173" width="9.140625" style="311"/>
    <col min="7174" max="7174" width="8.85546875" style="311" customWidth="1"/>
    <col min="7175" max="7175" width="9.140625" style="311"/>
    <col min="7176" max="7177" width="9.28515625" style="311" customWidth="1"/>
    <col min="7178" max="7418" width="9.140625" style="311"/>
    <col min="7419" max="7419" width="8" style="311" customWidth="1"/>
    <col min="7420" max="7420" width="62.7109375" style="311" customWidth="1"/>
    <col min="7421" max="7421" width="5.7109375" style="311" customWidth="1"/>
    <col min="7422" max="7422" width="4.28515625" style="311" customWidth="1"/>
    <col min="7423" max="7423" width="8" style="311" customWidth="1"/>
    <col min="7424" max="7424" width="14.5703125" style="311" customWidth="1"/>
    <col min="7425" max="7425" width="8.28515625" style="311" customWidth="1"/>
    <col min="7426" max="7426" width="22" style="311" customWidth="1"/>
    <col min="7427" max="7427" width="21.5703125" style="311" customWidth="1"/>
    <col min="7428" max="7428" width="19.140625" style="311" customWidth="1"/>
    <col min="7429" max="7429" width="9.140625" style="311"/>
    <col min="7430" max="7430" width="8.85546875" style="311" customWidth="1"/>
    <col min="7431" max="7431" width="9.140625" style="311"/>
    <col min="7432" max="7433" width="9.28515625" style="311" customWidth="1"/>
    <col min="7434" max="7674" width="9.140625" style="311"/>
    <col min="7675" max="7675" width="8" style="311" customWidth="1"/>
    <col min="7676" max="7676" width="62.7109375" style="311" customWidth="1"/>
    <col min="7677" max="7677" width="5.7109375" style="311" customWidth="1"/>
    <col min="7678" max="7678" width="4.28515625" style="311" customWidth="1"/>
    <col min="7679" max="7679" width="8" style="311" customWidth="1"/>
    <col min="7680" max="7680" width="14.5703125" style="311" customWidth="1"/>
    <col min="7681" max="7681" width="8.28515625" style="311" customWidth="1"/>
    <col min="7682" max="7682" width="22" style="311" customWidth="1"/>
    <col min="7683" max="7683" width="21.5703125" style="311" customWidth="1"/>
    <col min="7684" max="7684" width="19.140625" style="311" customWidth="1"/>
    <col min="7685" max="7685" width="9.140625" style="311"/>
    <col min="7686" max="7686" width="8.85546875" style="311" customWidth="1"/>
    <col min="7687" max="7687" width="9.140625" style="311"/>
    <col min="7688" max="7689" width="9.28515625" style="311" customWidth="1"/>
    <col min="7690" max="7930" width="9.140625" style="311"/>
    <col min="7931" max="7931" width="8" style="311" customWidth="1"/>
    <col min="7932" max="7932" width="62.7109375" style="311" customWidth="1"/>
    <col min="7933" max="7933" width="5.7109375" style="311" customWidth="1"/>
    <col min="7934" max="7934" width="4.28515625" style="311" customWidth="1"/>
    <col min="7935" max="7935" width="8" style="311" customWidth="1"/>
    <col min="7936" max="7936" width="14.5703125" style="311" customWidth="1"/>
    <col min="7937" max="7937" width="8.28515625" style="311" customWidth="1"/>
    <col min="7938" max="7938" width="22" style="311" customWidth="1"/>
    <col min="7939" max="7939" width="21.5703125" style="311" customWidth="1"/>
    <col min="7940" max="7940" width="19.140625" style="311" customWidth="1"/>
    <col min="7941" max="7941" width="9.140625" style="311"/>
    <col min="7942" max="7942" width="8.85546875" style="311" customWidth="1"/>
    <col min="7943" max="7943" width="9.140625" style="311"/>
    <col min="7944" max="7945" width="9.28515625" style="311" customWidth="1"/>
    <col min="7946" max="8186" width="9.140625" style="311"/>
    <col min="8187" max="8187" width="8" style="311" customWidth="1"/>
    <col min="8188" max="8188" width="62.7109375" style="311" customWidth="1"/>
    <col min="8189" max="8189" width="5.7109375" style="311" customWidth="1"/>
    <col min="8190" max="8190" width="4.28515625" style="311" customWidth="1"/>
    <col min="8191" max="8191" width="8" style="311" customWidth="1"/>
    <col min="8192" max="8192" width="14.5703125" style="311" customWidth="1"/>
    <col min="8193" max="8193" width="8.28515625" style="311" customWidth="1"/>
    <col min="8194" max="8194" width="22" style="311" customWidth="1"/>
    <col min="8195" max="8195" width="21.5703125" style="311" customWidth="1"/>
    <col min="8196" max="8196" width="19.140625" style="311" customWidth="1"/>
    <col min="8197" max="8197" width="9.140625" style="311"/>
    <col min="8198" max="8198" width="8.85546875" style="311" customWidth="1"/>
    <col min="8199" max="8199" width="9.140625" style="311"/>
    <col min="8200" max="8201" width="9.28515625" style="311" customWidth="1"/>
    <col min="8202" max="8442" width="9.140625" style="311"/>
    <col min="8443" max="8443" width="8" style="311" customWidth="1"/>
    <col min="8444" max="8444" width="62.7109375" style="311" customWidth="1"/>
    <col min="8445" max="8445" width="5.7109375" style="311" customWidth="1"/>
    <col min="8446" max="8446" width="4.28515625" style="311" customWidth="1"/>
    <col min="8447" max="8447" width="8" style="311" customWidth="1"/>
    <col min="8448" max="8448" width="14.5703125" style="311" customWidth="1"/>
    <col min="8449" max="8449" width="8.28515625" style="311" customWidth="1"/>
    <col min="8450" max="8450" width="22" style="311" customWidth="1"/>
    <col min="8451" max="8451" width="21.5703125" style="311" customWidth="1"/>
    <col min="8452" max="8452" width="19.140625" style="311" customWidth="1"/>
    <col min="8453" max="8453" width="9.140625" style="311"/>
    <col min="8454" max="8454" width="8.85546875" style="311" customWidth="1"/>
    <col min="8455" max="8455" width="9.140625" style="311"/>
    <col min="8456" max="8457" width="9.28515625" style="311" customWidth="1"/>
    <col min="8458" max="8698" width="9.140625" style="311"/>
    <col min="8699" max="8699" width="8" style="311" customWidth="1"/>
    <col min="8700" max="8700" width="62.7109375" style="311" customWidth="1"/>
    <col min="8701" max="8701" width="5.7109375" style="311" customWidth="1"/>
    <col min="8702" max="8702" width="4.28515625" style="311" customWidth="1"/>
    <col min="8703" max="8703" width="8" style="311" customWidth="1"/>
    <col min="8704" max="8704" width="14.5703125" style="311" customWidth="1"/>
    <col min="8705" max="8705" width="8.28515625" style="311" customWidth="1"/>
    <col min="8706" max="8706" width="22" style="311" customWidth="1"/>
    <col min="8707" max="8707" width="21.5703125" style="311" customWidth="1"/>
    <col min="8708" max="8708" width="19.140625" style="311" customWidth="1"/>
    <col min="8709" max="8709" width="9.140625" style="311"/>
    <col min="8710" max="8710" width="8.85546875" style="311" customWidth="1"/>
    <col min="8711" max="8711" width="9.140625" style="311"/>
    <col min="8712" max="8713" width="9.28515625" style="311" customWidth="1"/>
    <col min="8714" max="8954" width="9.140625" style="311"/>
    <col min="8955" max="8955" width="8" style="311" customWidth="1"/>
    <col min="8956" max="8956" width="62.7109375" style="311" customWidth="1"/>
    <col min="8957" max="8957" width="5.7109375" style="311" customWidth="1"/>
    <col min="8958" max="8958" width="4.28515625" style="311" customWidth="1"/>
    <col min="8959" max="8959" width="8" style="311" customWidth="1"/>
    <col min="8960" max="8960" width="14.5703125" style="311" customWidth="1"/>
    <col min="8961" max="8961" width="8.28515625" style="311" customWidth="1"/>
    <col min="8962" max="8962" width="22" style="311" customWidth="1"/>
    <col min="8963" max="8963" width="21.5703125" style="311" customWidth="1"/>
    <col min="8964" max="8964" width="19.140625" style="311" customWidth="1"/>
    <col min="8965" max="8965" width="9.140625" style="311"/>
    <col min="8966" max="8966" width="8.85546875" style="311" customWidth="1"/>
    <col min="8967" max="8967" width="9.140625" style="311"/>
    <col min="8968" max="8969" width="9.28515625" style="311" customWidth="1"/>
    <col min="8970" max="9210" width="9.140625" style="311"/>
    <col min="9211" max="9211" width="8" style="311" customWidth="1"/>
    <col min="9212" max="9212" width="62.7109375" style="311" customWidth="1"/>
    <col min="9213" max="9213" width="5.7109375" style="311" customWidth="1"/>
    <col min="9214" max="9214" width="4.28515625" style="311" customWidth="1"/>
    <col min="9215" max="9215" width="8" style="311" customWidth="1"/>
    <col min="9216" max="9216" width="14.5703125" style="311" customWidth="1"/>
    <col min="9217" max="9217" width="8.28515625" style="311" customWidth="1"/>
    <col min="9218" max="9218" width="22" style="311" customWidth="1"/>
    <col min="9219" max="9219" width="21.5703125" style="311" customWidth="1"/>
    <col min="9220" max="9220" width="19.140625" style="311" customWidth="1"/>
    <col min="9221" max="9221" width="9.140625" style="311"/>
    <col min="9222" max="9222" width="8.85546875" style="311" customWidth="1"/>
    <col min="9223" max="9223" width="9.140625" style="311"/>
    <col min="9224" max="9225" width="9.28515625" style="311" customWidth="1"/>
    <col min="9226" max="9466" width="9.140625" style="311"/>
    <col min="9467" max="9467" width="8" style="311" customWidth="1"/>
    <col min="9468" max="9468" width="62.7109375" style="311" customWidth="1"/>
    <col min="9469" max="9469" width="5.7109375" style="311" customWidth="1"/>
    <col min="9470" max="9470" width="4.28515625" style="311" customWidth="1"/>
    <col min="9471" max="9471" width="8" style="311" customWidth="1"/>
    <col min="9472" max="9472" width="14.5703125" style="311" customWidth="1"/>
    <col min="9473" max="9473" width="8.28515625" style="311" customWidth="1"/>
    <col min="9474" max="9474" width="22" style="311" customWidth="1"/>
    <col min="9475" max="9475" width="21.5703125" style="311" customWidth="1"/>
    <col min="9476" max="9476" width="19.140625" style="311" customWidth="1"/>
    <col min="9477" max="9477" width="9.140625" style="311"/>
    <col min="9478" max="9478" width="8.85546875" style="311" customWidth="1"/>
    <col min="9479" max="9479" width="9.140625" style="311"/>
    <col min="9480" max="9481" width="9.28515625" style="311" customWidth="1"/>
    <col min="9482" max="9722" width="9.140625" style="311"/>
    <col min="9723" max="9723" width="8" style="311" customWidth="1"/>
    <col min="9724" max="9724" width="62.7109375" style="311" customWidth="1"/>
    <col min="9725" max="9725" width="5.7109375" style="311" customWidth="1"/>
    <col min="9726" max="9726" width="4.28515625" style="311" customWidth="1"/>
    <col min="9727" max="9727" width="8" style="311" customWidth="1"/>
    <col min="9728" max="9728" width="14.5703125" style="311" customWidth="1"/>
    <col min="9729" max="9729" width="8.28515625" style="311" customWidth="1"/>
    <col min="9730" max="9730" width="22" style="311" customWidth="1"/>
    <col min="9731" max="9731" width="21.5703125" style="311" customWidth="1"/>
    <col min="9732" max="9732" width="19.140625" style="311" customWidth="1"/>
    <col min="9733" max="9733" width="9.140625" style="311"/>
    <col min="9734" max="9734" width="8.85546875" style="311" customWidth="1"/>
    <col min="9735" max="9735" width="9.140625" style="311"/>
    <col min="9736" max="9737" width="9.28515625" style="311" customWidth="1"/>
    <col min="9738" max="9978" width="9.140625" style="311"/>
    <col min="9979" max="9979" width="8" style="311" customWidth="1"/>
    <col min="9980" max="9980" width="62.7109375" style="311" customWidth="1"/>
    <col min="9981" max="9981" width="5.7109375" style="311" customWidth="1"/>
    <col min="9982" max="9982" width="4.28515625" style="311" customWidth="1"/>
    <col min="9983" max="9983" width="8" style="311" customWidth="1"/>
    <col min="9984" max="9984" width="14.5703125" style="311" customWidth="1"/>
    <col min="9985" max="9985" width="8.28515625" style="311" customWidth="1"/>
    <col min="9986" max="9986" width="22" style="311" customWidth="1"/>
    <col min="9987" max="9987" width="21.5703125" style="311" customWidth="1"/>
    <col min="9988" max="9988" width="19.140625" style="311" customWidth="1"/>
    <col min="9989" max="9989" width="9.140625" style="311"/>
    <col min="9990" max="9990" width="8.85546875" style="311" customWidth="1"/>
    <col min="9991" max="9991" width="9.140625" style="311"/>
    <col min="9992" max="9993" width="9.28515625" style="311" customWidth="1"/>
    <col min="9994" max="10234" width="9.140625" style="311"/>
    <col min="10235" max="10235" width="8" style="311" customWidth="1"/>
    <col min="10236" max="10236" width="62.7109375" style="311" customWidth="1"/>
    <col min="10237" max="10237" width="5.7109375" style="311" customWidth="1"/>
    <col min="10238" max="10238" width="4.28515625" style="311" customWidth="1"/>
    <col min="10239" max="10239" width="8" style="311" customWidth="1"/>
    <col min="10240" max="10240" width="14.5703125" style="311" customWidth="1"/>
    <col min="10241" max="10241" width="8.28515625" style="311" customWidth="1"/>
    <col min="10242" max="10242" width="22" style="311" customWidth="1"/>
    <col min="10243" max="10243" width="21.5703125" style="311" customWidth="1"/>
    <col min="10244" max="10244" width="19.140625" style="311" customWidth="1"/>
    <col min="10245" max="10245" width="9.140625" style="311"/>
    <col min="10246" max="10246" width="8.85546875" style="311" customWidth="1"/>
    <col min="10247" max="10247" width="9.140625" style="311"/>
    <col min="10248" max="10249" width="9.28515625" style="311" customWidth="1"/>
    <col min="10250" max="10490" width="9.140625" style="311"/>
    <col min="10491" max="10491" width="8" style="311" customWidth="1"/>
    <col min="10492" max="10492" width="62.7109375" style="311" customWidth="1"/>
    <col min="10493" max="10493" width="5.7109375" style="311" customWidth="1"/>
    <col min="10494" max="10494" width="4.28515625" style="311" customWidth="1"/>
    <col min="10495" max="10495" width="8" style="311" customWidth="1"/>
    <col min="10496" max="10496" width="14.5703125" style="311" customWidth="1"/>
    <col min="10497" max="10497" width="8.28515625" style="311" customWidth="1"/>
    <col min="10498" max="10498" width="22" style="311" customWidth="1"/>
    <col min="10499" max="10499" width="21.5703125" style="311" customWidth="1"/>
    <col min="10500" max="10500" width="19.140625" style="311" customWidth="1"/>
    <col min="10501" max="10501" width="9.140625" style="311"/>
    <col min="10502" max="10502" width="8.85546875" style="311" customWidth="1"/>
    <col min="10503" max="10503" width="9.140625" style="311"/>
    <col min="10504" max="10505" width="9.28515625" style="311" customWidth="1"/>
    <col min="10506" max="10746" width="9.140625" style="311"/>
    <col min="10747" max="10747" width="8" style="311" customWidth="1"/>
    <col min="10748" max="10748" width="62.7109375" style="311" customWidth="1"/>
    <col min="10749" max="10749" width="5.7109375" style="311" customWidth="1"/>
    <col min="10750" max="10750" width="4.28515625" style="311" customWidth="1"/>
    <col min="10751" max="10751" width="8" style="311" customWidth="1"/>
    <col min="10752" max="10752" width="14.5703125" style="311" customWidth="1"/>
    <col min="10753" max="10753" width="8.28515625" style="311" customWidth="1"/>
    <col min="10754" max="10754" width="22" style="311" customWidth="1"/>
    <col min="10755" max="10755" width="21.5703125" style="311" customWidth="1"/>
    <col min="10756" max="10756" width="19.140625" style="311" customWidth="1"/>
    <col min="10757" max="10757" width="9.140625" style="311"/>
    <col min="10758" max="10758" width="8.85546875" style="311" customWidth="1"/>
    <col min="10759" max="10759" width="9.140625" style="311"/>
    <col min="10760" max="10761" width="9.28515625" style="311" customWidth="1"/>
    <col min="10762" max="11002" width="9.140625" style="311"/>
    <col min="11003" max="11003" width="8" style="311" customWidth="1"/>
    <col min="11004" max="11004" width="62.7109375" style="311" customWidth="1"/>
    <col min="11005" max="11005" width="5.7109375" style="311" customWidth="1"/>
    <col min="11006" max="11006" width="4.28515625" style="311" customWidth="1"/>
    <col min="11007" max="11007" width="8" style="311" customWidth="1"/>
    <col min="11008" max="11008" width="14.5703125" style="311" customWidth="1"/>
    <col min="11009" max="11009" width="8.28515625" style="311" customWidth="1"/>
    <col min="11010" max="11010" width="22" style="311" customWidth="1"/>
    <col min="11011" max="11011" width="21.5703125" style="311" customWidth="1"/>
    <col min="11012" max="11012" width="19.140625" style="311" customWidth="1"/>
    <col min="11013" max="11013" width="9.140625" style="311"/>
    <col min="11014" max="11014" width="8.85546875" style="311" customWidth="1"/>
    <col min="11015" max="11015" width="9.140625" style="311"/>
    <col min="11016" max="11017" width="9.28515625" style="311" customWidth="1"/>
    <col min="11018" max="11258" width="9.140625" style="311"/>
    <col min="11259" max="11259" width="8" style="311" customWidth="1"/>
    <col min="11260" max="11260" width="62.7109375" style="311" customWidth="1"/>
    <col min="11261" max="11261" width="5.7109375" style="311" customWidth="1"/>
    <col min="11262" max="11262" width="4.28515625" style="311" customWidth="1"/>
    <col min="11263" max="11263" width="8" style="311" customWidth="1"/>
    <col min="11264" max="11264" width="14.5703125" style="311" customWidth="1"/>
    <col min="11265" max="11265" width="8.28515625" style="311" customWidth="1"/>
    <col min="11266" max="11266" width="22" style="311" customWidth="1"/>
    <col min="11267" max="11267" width="21.5703125" style="311" customWidth="1"/>
    <col min="11268" max="11268" width="19.140625" style="311" customWidth="1"/>
    <col min="11269" max="11269" width="9.140625" style="311"/>
    <col min="11270" max="11270" width="8.85546875" style="311" customWidth="1"/>
    <col min="11271" max="11271" width="9.140625" style="311"/>
    <col min="11272" max="11273" width="9.28515625" style="311" customWidth="1"/>
    <col min="11274" max="11514" width="9.140625" style="311"/>
    <col min="11515" max="11515" width="8" style="311" customWidth="1"/>
    <col min="11516" max="11516" width="62.7109375" style="311" customWidth="1"/>
    <col min="11517" max="11517" width="5.7109375" style="311" customWidth="1"/>
    <col min="11518" max="11518" width="4.28515625" style="311" customWidth="1"/>
    <col min="11519" max="11519" width="8" style="311" customWidth="1"/>
    <col min="11520" max="11520" width="14.5703125" style="311" customWidth="1"/>
    <col min="11521" max="11521" width="8.28515625" style="311" customWidth="1"/>
    <col min="11522" max="11522" width="22" style="311" customWidth="1"/>
    <col min="11523" max="11523" width="21.5703125" style="311" customWidth="1"/>
    <col min="11524" max="11524" width="19.140625" style="311" customWidth="1"/>
    <col min="11525" max="11525" width="9.140625" style="311"/>
    <col min="11526" max="11526" width="8.85546875" style="311" customWidth="1"/>
    <col min="11527" max="11527" width="9.140625" style="311"/>
    <col min="11528" max="11529" width="9.28515625" style="311" customWidth="1"/>
    <col min="11530" max="11770" width="9.140625" style="311"/>
    <col min="11771" max="11771" width="8" style="311" customWidth="1"/>
    <col min="11772" max="11772" width="62.7109375" style="311" customWidth="1"/>
    <col min="11773" max="11773" width="5.7109375" style="311" customWidth="1"/>
    <col min="11774" max="11774" width="4.28515625" style="311" customWidth="1"/>
    <col min="11775" max="11775" width="8" style="311" customWidth="1"/>
    <col min="11776" max="11776" width="14.5703125" style="311" customWidth="1"/>
    <col min="11777" max="11777" width="8.28515625" style="311" customWidth="1"/>
    <col min="11778" max="11778" width="22" style="311" customWidth="1"/>
    <col min="11779" max="11779" width="21.5703125" style="311" customWidth="1"/>
    <col min="11780" max="11780" width="19.140625" style="311" customWidth="1"/>
    <col min="11781" max="11781" width="9.140625" style="311"/>
    <col min="11782" max="11782" width="8.85546875" style="311" customWidth="1"/>
    <col min="11783" max="11783" width="9.140625" style="311"/>
    <col min="11784" max="11785" width="9.28515625" style="311" customWidth="1"/>
    <col min="11786" max="12026" width="9.140625" style="311"/>
    <col min="12027" max="12027" width="8" style="311" customWidth="1"/>
    <col min="12028" max="12028" width="62.7109375" style="311" customWidth="1"/>
    <col min="12029" max="12029" width="5.7109375" style="311" customWidth="1"/>
    <col min="12030" max="12030" width="4.28515625" style="311" customWidth="1"/>
    <col min="12031" max="12031" width="8" style="311" customWidth="1"/>
    <col min="12032" max="12032" width="14.5703125" style="311" customWidth="1"/>
    <col min="12033" max="12033" width="8.28515625" style="311" customWidth="1"/>
    <col min="12034" max="12034" width="22" style="311" customWidth="1"/>
    <col min="12035" max="12035" width="21.5703125" style="311" customWidth="1"/>
    <col min="12036" max="12036" width="19.140625" style="311" customWidth="1"/>
    <col min="12037" max="12037" width="9.140625" style="311"/>
    <col min="12038" max="12038" width="8.85546875" style="311" customWidth="1"/>
    <col min="12039" max="12039" width="9.140625" style="311"/>
    <col min="12040" max="12041" width="9.28515625" style="311" customWidth="1"/>
    <col min="12042" max="12282" width="9.140625" style="311"/>
    <col min="12283" max="12283" width="8" style="311" customWidth="1"/>
    <col min="12284" max="12284" width="62.7109375" style="311" customWidth="1"/>
    <col min="12285" max="12285" width="5.7109375" style="311" customWidth="1"/>
    <col min="12286" max="12286" width="4.28515625" style="311" customWidth="1"/>
    <col min="12287" max="12287" width="8" style="311" customWidth="1"/>
    <col min="12288" max="12288" width="14.5703125" style="311" customWidth="1"/>
    <col min="12289" max="12289" width="8.28515625" style="311" customWidth="1"/>
    <col min="12290" max="12290" width="22" style="311" customWidth="1"/>
    <col min="12291" max="12291" width="21.5703125" style="311" customWidth="1"/>
    <col min="12292" max="12292" width="19.140625" style="311" customWidth="1"/>
    <col min="12293" max="12293" width="9.140625" style="311"/>
    <col min="12294" max="12294" width="8.85546875" style="311" customWidth="1"/>
    <col min="12295" max="12295" width="9.140625" style="311"/>
    <col min="12296" max="12297" width="9.28515625" style="311" customWidth="1"/>
    <col min="12298" max="12538" width="9.140625" style="311"/>
    <col min="12539" max="12539" width="8" style="311" customWidth="1"/>
    <col min="12540" max="12540" width="62.7109375" style="311" customWidth="1"/>
    <col min="12541" max="12541" width="5.7109375" style="311" customWidth="1"/>
    <col min="12542" max="12542" width="4.28515625" style="311" customWidth="1"/>
    <col min="12543" max="12543" width="8" style="311" customWidth="1"/>
    <col min="12544" max="12544" width="14.5703125" style="311" customWidth="1"/>
    <col min="12545" max="12545" width="8.28515625" style="311" customWidth="1"/>
    <col min="12546" max="12546" width="22" style="311" customWidth="1"/>
    <col min="12547" max="12547" width="21.5703125" style="311" customWidth="1"/>
    <col min="12548" max="12548" width="19.140625" style="311" customWidth="1"/>
    <col min="12549" max="12549" width="9.140625" style="311"/>
    <col min="12550" max="12550" width="8.85546875" style="311" customWidth="1"/>
    <col min="12551" max="12551" width="9.140625" style="311"/>
    <col min="12552" max="12553" width="9.28515625" style="311" customWidth="1"/>
    <col min="12554" max="12794" width="9.140625" style="311"/>
    <col min="12795" max="12795" width="8" style="311" customWidth="1"/>
    <col min="12796" max="12796" width="62.7109375" style="311" customWidth="1"/>
    <col min="12797" max="12797" width="5.7109375" style="311" customWidth="1"/>
    <col min="12798" max="12798" width="4.28515625" style="311" customWidth="1"/>
    <col min="12799" max="12799" width="8" style="311" customWidth="1"/>
    <col min="12800" max="12800" width="14.5703125" style="311" customWidth="1"/>
    <col min="12801" max="12801" width="8.28515625" style="311" customWidth="1"/>
    <col min="12802" max="12802" width="22" style="311" customWidth="1"/>
    <col min="12803" max="12803" width="21.5703125" style="311" customWidth="1"/>
    <col min="12804" max="12804" width="19.140625" style="311" customWidth="1"/>
    <col min="12805" max="12805" width="9.140625" style="311"/>
    <col min="12806" max="12806" width="8.85546875" style="311" customWidth="1"/>
    <col min="12807" max="12807" width="9.140625" style="311"/>
    <col min="12808" max="12809" width="9.28515625" style="311" customWidth="1"/>
    <col min="12810" max="13050" width="9.140625" style="311"/>
    <col min="13051" max="13051" width="8" style="311" customWidth="1"/>
    <col min="13052" max="13052" width="62.7109375" style="311" customWidth="1"/>
    <col min="13053" max="13053" width="5.7109375" style="311" customWidth="1"/>
    <col min="13054" max="13054" width="4.28515625" style="311" customWidth="1"/>
    <col min="13055" max="13055" width="8" style="311" customWidth="1"/>
    <col min="13056" max="13056" width="14.5703125" style="311" customWidth="1"/>
    <col min="13057" max="13057" width="8.28515625" style="311" customWidth="1"/>
    <col min="13058" max="13058" width="22" style="311" customWidth="1"/>
    <col min="13059" max="13059" width="21.5703125" style="311" customWidth="1"/>
    <col min="13060" max="13060" width="19.140625" style="311" customWidth="1"/>
    <col min="13061" max="13061" width="9.140625" style="311"/>
    <col min="13062" max="13062" width="8.85546875" style="311" customWidth="1"/>
    <col min="13063" max="13063" width="9.140625" style="311"/>
    <col min="13064" max="13065" width="9.28515625" style="311" customWidth="1"/>
    <col min="13066" max="13306" width="9.140625" style="311"/>
    <col min="13307" max="13307" width="8" style="311" customWidth="1"/>
    <col min="13308" max="13308" width="62.7109375" style="311" customWidth="1"/>
    <col min="13309" max="13309" width="5.7109375" style="311" customWidth="1"/>
    <col min="13310" max="13310" width="4.28515625" style="311" customWidth="1"/>
    <col min="13311" max="13311" width="8" style="311" customWidth="1"/>
    <col min="13312" max="13312" width="14.5703125" style="311" customWidth="1"/>
    <col min="13313" max="13313" width="8.28515625" style="311" customWidth="1"/>
    <col min="13314" max="13314" width="22" style="311" customWidth="1"/>
    <col min="13315" max="13315" width="21.5703125" style="311" customWidth="1"/>
    <col min="13316" max="13316" width="19.140625" style="311" customWidth="1"/>
    <col min="13317" max="13317" width="9.140625" style="311"/>
    <col min="13318" max="13318" width="8.85546875" style="311" customWidth="1"/>
    <col min="13319" max="13319" width="9.140625" style="311"/>
    <col min="13320" max="13321" width="9.28515625" style="311" customWidth="1"/>
    <col min="13322" max="13562" width="9.140625" style="311"/>
    <col min="13563" max="13563" width="8" style="311" customWidth="1"/>
    <col min="13564" max="13564" width="62.7109375" style="311" customWidth="1"/>
    <col min="13565" max="13565" width="5.7109375" style="311" customWidth="1"/>
    <col min="13566" max="13566" width="4.28515625" style="311" customWidth="1"/>
    <col min="13567" max="13567" width="8" style="311" customWidth="1"/>
    <col min="13568" max="13568" width="14.5703125" style="311" customWidth="1"/>
    <col min="13569" max="13569" width="8.28515625" style="311" customWidth="1"/>
    <col min="13570" max="13570" width="22" style="311" customWidth="1"/>
    <col min="13571" max="13571" width="21.5703125" style="311" customWidth="1"/>
    <col min="13572" max="13572" width="19.140625" style="311" customWidth="1"/>
    <col min="13573" max="13573" width="9.140625" style="311"/>
    <col min="13574" max="13574" width="8.85546875" style="311" customWidth="1"/>
    <col min="13575" max="13575" width="9.140625" style="311"/>
    <col min="13576" max="13577" width="9.28515625" style="311" customWidth="1"/>
    <col min="13578" max="13818" width="9.140625" style="311"/>
    <col min="13819" max="13819" width="8" style="311" customWidth="1"/>
    <col min="13820" max="13820" width="62.7109375" style="311" customWidth="1"/>
    <col min="13821" max="13821" width="5.7109375" style="311" customWidth="1"/>
    <col min="13822" max="13822" width="4.28515625" style="311" customWidth="1"/>
    <col min="13823" max="13823" width="8" style="311" customWidth="1"/>
    <col min="13824" max="13824" width="14.5703125" style="311" customWidth="1"/>
    <col min="13825" max="13825" width="8.28515625" style="311" customWidth="1"/>
    <col min="13826" max="13826" width="22" style="311" customWidth="1"/>
    <col min="13827" max="13827" width="21.5703125" style="311" customWidth="1"/>
    <col min="13828" max="13828" width="19.140625" style="311" customWidth="1"/>
    <col min="13829" max="13829" width="9.140625" style="311"/>
    <col min="13830" max="13830" width="8.85546875" style="311" customWidth="1"/>
    <col min="13831" max="13831" width="9.140625" style="311"/>
    <col min="13832" max="13833" width="9.28515625" style="311" customWidth="1"/>
    <col min="13834" max="14074" width="9.140625" style="311"/>
    <col min="14075" max="14075" width="8" style="311" customWidth="1"/>
    <col min="14076" max="14076" width="62.7109375" style="311" customWidth="1"/>
    <col min="14077" max="14077" width="5.7109375" style="311" customWidth="1"/>
    <col min="14078" max="14078" width="4.28515625" style="311" customWidth="1"/>
    <col min="14079" max="14079" width="8" style="311" customWidth="1"/>
    <col min="14080" max="14080" width="14.5703125" style="311" customWidth="1"/>
    <col min="14081" max="14081" width="8.28515625" style="311" customWidth="1"/>
    <col min="14082" max="14082" width="22" style="311" customWidth="1"/>
    <col min="14083" max="14083" width="21.5703125" style="311" customWidth="1"/>
    <col min="14084" max="14084" width="19.140625" style="311" customWidth="1"/>
    <col min="14085" max="14085" width="9.140625" style="311"/>
    <col min="14086" max="14086" width="8.85546875" style="311" customWidth="1"/>
    <col min="14087" max="14087" width="9.140625" style="311"/>
    <col min="14088" max="14089" width="9.28515625" style="311" customWidth="1"/>
    <col min="14090" max="14330" width="9.140625" style="311"/>
    <col min="14331" max="14331" width="8" style="311" customWidth="1"/>
    <col min="14332" max="14332" width="62.7109375" style="311" customWidth="1"/>
    <col min="14333" max="14333" width="5.7109375" style="311" customWidth="1"/>
    <col min="14334" max="14334" width="4.28515625" style="311" customWidth="1"/>
    <col min="14335" max="14335" width="8" style="311" customWidth="1"/>
    <col min="14336" max="14336" width="14.5703125" style="311" customWidth="1"/>
    <col min="14337" max="14337" width="8.28515625" style="311" customWidth="1"/>
    <col min="14338" max="14338" width="22" style="311" customWidth="1"/>
    <col min="14339" max="14339" width="21.5703125" style="311" customWidth="1"/>
    <col min="14340" max="14340" width="19.140625" style="311" customWidth="1"/>
    <col min="14341" max="14341" width="9.140625" style="311"/>
    <col min="14342" max="14342" width="8.85546875" style="311" customWidth="1"/>
    <col min="14343" max="14343" width="9.140625" style="311"/>
    <col min="14344" max="14345" width="9.28515625" style="311" customWidth="1"/>
    <col min="14346" max="14586" width="9.140625" style="311"/>
    <col min="14587" max="14587" width="8" style="311" customWidth="1"/>
    <col min="14588" max="14588" width="62.7109375" style="311" customWidth="1"/>
    <col min="14589" max="14589" width="5.7109375" style="311" customWidth="1"/>
    <col min="14590" max="14590" width="4.28515625" style="311" customWidth="1"/>
    <col min="14591" max="14591" width="8" style="311" customWidth="1"/>
    <col min="14592" max="14592" width="14.5703125" style="311" customWidth="1"/>
    <col min="14593" max="14593" width="8.28515625" style="311" customWidth="1"/>
    <col min="14594" max="14594" width="22" style="311" customWidth="1"/>
    <col min="14595" max="14595" width="21.5703125" style="311" customWidth="1"/>
    <col min="14596" max="14596" width="19.140625" style="311" customWidth="1"/>
    <col min="14597" max="14597" width="9.140625" style="311"/>
    <col min="14598" max="14598" width="8.85546875" style="311" customWidth="1"/>
    <col min="14599" max="14599" width="9.140625" style="311"/>
    <col min="14600" max="14601" width="9.28515625" style="311" customWidth="1"/>
    <col min="14602" max="14842" width="9.140625" style="311"/>
    <col min="14843" max="14843" width="8" style="311" customWidth="1"/>
    <col min="14844" max="14844" width="62.7109375" style="311" customWidth="1"/>
    <col min="14845" max="14845" width="5.7109375" style="311" customWidth="1"/>
    <col min="14846" max="14846" width="4.28515625" style="311" customWidth="1"/>
    <col min="14847" max="14847" width="8" style="311" customWidth="1"/>
    <col min="14848" max="14848" width="14.5703125" style="311" customWidth="1"/>
    <col min="14849" max="14849" width="8.28515625" style="311" customWidth="1"/>
    <col min="14850" max="14850" width="22" style="311" customWidth="1"/>
    <col min="14851" max="14851" width="21.5703125" style="311" customWidth="1"/>
    <col min="14852" max="14852" width="19.140625" style="311" customWidth="1"/>
    <col min="14853" max="14853" width="9.140625" style="311"/>
    <col min="14854" max="14854" width="8.85546875" style="311" customWidth="1"/>
    <col min="14855" max="14855" width="9.140625" style="311"/>
    <col min="14856" max="14857" width="9.28515625" style="311" customWidth="1"/>
    <col min="14858" max="15098" width="9.140625" style="311"/>
    <col min="15099" max="15099" width="8" style="311" customWidth="1"/>
    <col min="15100" max="15100" width="62.7109375" style="311" customWidth="1"/>
    <col min="15101" max="15101" width="5.7109375" style="311" customWidth="1"/>
    <col min="15102" max="15102" width="4.28515625" style="311" customWidth="1"/>
    <col min="15103" max="15103" width="8" style="311" customWidth="1"/>
    <col min="15104" max="15104" width="14.5703125" style="311" customWidth="1"/>
    <col min="15105" max="15105" width="8.28515625" style="311" customWidth="1"/>
    <col min="15106" max="15106" width="22" style="311" customWidth="1"/>
    <col min="15107" max="15107" width="21.5703125" style="311" customWidth="1"/>
    <col min="15108" max="15108" width="19.140625" style="311" customWidth="1"/>
    <col min="15109" max="15109" width="9.140625" style="311"/>
    <col min="15110" max="15110" width="8.85546875" style="311" customWidth="1"/>
    <col min="15111" max="15111" width="9.140625" style="311"/>
    <col min="15112" max="15113" width="9.28515625" style="311" customWidth="1"/>
    <col min="15114" max="15354" width="9.140625" style="311"/>
    <col min="15355" max="15355" width="8" style="311" customWidth="1"/>
    <col min="15356" max="15356" width="62.7109375" style="311" customWidth="1"/>
    <col min="15357" max="15357" width="5.7109375" style="311" customWidth="1"/>
    <col min="15358" max="15358" width="4.28515625" style="311" customWidth="1"/>
    <col min="15359" max="15359" width="8" style="311" customWidth="1"/>
    <col min="15360" max="15360" width="14.5703125" style="311" customWidth="1"/>
    <col min="15361" max="15361" width="8.28515625" style="311" customWidth="1"/>
    <col min="15362" max="15362" width="22" style="311" customWidth="1"/>
    <col min="15363" max="15363" width="21.5703125" style="311" customWidth="1"/>
    <col min="15364" max="15364" width="19.140625" style="311" customWidth="1"/>
    <col min="15365" max="15365" width="9.140625" style="311"/>
    <col min="15366" max="15366" width="8.85546875" style="311" customWidth="1"/>
    <col min="15367" max="15367" width="9.140625" style="311"/>
    <col min="15368" max="15369" width="9.28515625" style="311" customWidth="1"/>
    <col min="15370" max="15610" width="9.140625" style="311"/>
    <col min="15611" max="15611" width="8" style="311" customWidth="1"/>
    <col min="15612" max="15612" width="62.7109375" style="311" customWidth="1"/>
    <col min="15613" max="15613" width="5.7109375" style="311" customWidth="1"/>
    <col min="15614" max="15614" width="4.28515625" style="311" customWidth="1"/>
    <col min="15615" max="15615" width="8" style="311" customWidth="1"/>
    <col min="15616" max="15616" width="14.5703125" style="311" customWidth="1"/>
    <col min="15617" max="15617" width="8.28515625" style="311" customWidth="1"/>
    <col min="15618" max="15618" width="22" style="311" customWidth="1"/>
    <col min="15619" max="15619" width="21.5703125" style="311" customWidth="1"/>
    <col min="15620" max="15620" width="19.140625" style="311" customWidth="1"/>
    <col min="15621" max="15621" width="9.140625" style="311"/>
    <col min="15622" max="15622" width="8.85546875" style="311" customWidth="1"/>
    <col min="15623" max="15623" width="9.140625" style="311"/>
    <col min="15624" max="15625" width="9.28515625" style="311" customWidth="1"/>
    <col min="15626" max="15866" width="9.140625" style="311"/>
    <col min="15867" max="15867" width="8" style="311" customWidth="1"/>
    <col min="15868" max="15868" width="62.7109375" style="311" customWidth="1"/>
    <col min="15869" max="15869" width="5.7109375" style="311" customWidth="1"/>
    <col min="15870" max="15870" width="4.28515625" style="311" customWidth="1"/>
    <col min="15871" max="15871" width="8" style="311" customWidth="1"/>
    <col min="15872" max="15872" width="14.5703125" style="311" customWidth="1"/>
    <col min="15873" max="15873" width="8.28515625" style="311" customWidth="1"/>
    <col min="15874" max="15874" width="22" style="311" customWidth="1"/>
    <col min="15875" max="15875" width="21.5703125" style="311" customWidth="1"/>
    <col min="15876" max="15876" width="19.140625" style="311" customWidth="1"/>
    <col min="15877" max="15877" width="9.140625" style="311"/>
    <col min="15878" max="15878" width="8.85546875" style="311" customWidth="1"/>
    <col min="15879" max="15879" width="9.140625" style="311"/>
    <col min="15880" max="15881" width="9.28515625" style="311" customWidth="1"/>
    <col min="15882" max="16122" width="9.140625" style="311"/>
    <col min="16123" max="16123" width="8" style="311" customWidth="1"/>
    <col min="16124" max="16124" width="62.7109375" style="311" customWidth="1"/>
    <col min="16125" max="16125" width="5.7109375" style="311" customWidth="1"/>
    <col min="16126" max="16126" width="4.28515625" style="311" customWidth="1"/>
    <col min="16127" max="16127" width="8" style="311" customWidth="1"/>
    <col min="16128" max="16128" width="14.5703125" style="311" customWidth="1"/>
    <col min="16129" max="16129" width="8.28515625" style="311" customWidth="1"/>
    <col min="16130" max="16130" width="22" style="311" customWidth="1"/>
    <col min="16131" max="16131" width="21.5703125" style="311" customWidth="1"/>
    <col min="16132" max="16132" width="19.140625" style="311" customWidth="1"/>
    <col min="16133" max="16133" width="9.140625" style="311"/>
    <col min="16134" max="16134" width="8.85546875" style="311" customWidth="1"/>
    <col min="16135" max="16135" width="9.140625" style="311"/>
    <col min="16136" max="16137" width="9.28515625" style="311" customWidth="1"/>
    <col min="16138" max="16384" width="9.140625" style="311"/>
  </cols>
  <sheetData>
    <row r="1" spans="2:13" ht="14.85" customHeight="1" thickBot="1"/>
    <row r="2" spans="2:13" ht="15" customHeight="1">
      <c r="B2" s="907" t="s">
        <v>453</v>
      </c>
      <c r="C2" s="908"/>
      <c r="D2" s="908"/>
      <c r="E2" s="908"/>
      <c r="F2" s="908"/>
      <c r="G2" s="908"/>
      <c r="H2" s="908"/>
      <c r="I2" s="908"/>
      <c r="J2" s="908"/>
      <c r="K2" s="909"/>
    </row>
    <row r="3" spans="2:13" ht="15" customHeight="1">
      <c r="B3" s="817" t="s">
        <v>450</v>
      </c>
      <c r="C3" s="818"/>
      <c r="D3" s="818"/>
      <c r="E3" s="818"/>
      <c r="F3" s="818"/>
      <c r="G3" s="818"/>
      <c r="H3" s="818"/>
      <c r="I3" s="818"/>
      <c r="J3" s="818"/>
      <c r="K3" s="819"/>
    </row>
    <row r="4" spans="2:13" ht="15" customHeight="1">
      <c r="B4" s="817" t="s">
        <v>406</v>
      </c>
      <c r="C4" s="818"/>
      <c r="D4" s="818"/>
      <c r="E4" s="818"/>
      <c r="F4" s="818"/>
      <c r="G4" s="818"/>
      <c r="H4" s="818"/>
      <c r="I4" s="818"/>
      <c r="J4" s="818"/>
      <c r="K4" s="819"/>
    </row>
    <row r="5" spans="2:13" s="33" customFormat="1" ht="15">
      <c r="B5" s="698" t="s">
        <v>455</v>
      </c>
      <c r="C5" s="520"/>
      <c r="D5" s="520"/>
      <c r="E5" s="520"/>
      <c r="F5" s="521"/>
      <c r="G5" s="520"/>
      <c r="H5" s="740"/>
      <c r="I5" s="741"/>
      <c r="J5" s="526" t="s">
        <v>422</v>
      </c>
      <c r="K5" s="525" t="s">
        <v>588</v>
      </c>
    </row>
    <row r="6" spans="2:13" ht="12.75">
      <c r="B6" s="698"/>
      <c r="C6" s="520"/>
      <c r="D6" s="520"/>
      <c r="E6" s="520"/>
      <c r="F6" s="521"/>
      <c r="G6" s="520"/>
      <c r="H6" s="523"/>
      <c r="I6" s="530"/>
      <c r="J6" s="526" t="s">
        <v>636</v>
      </c>
      <c r="K6" s="525" t="s">
        <v>589</v>
      </c>
    </row>
    <row r="7" spans="2:13" ht="13.5" thickBot="1">
      <c r="B7" s="531" t="s">
        <v>8</v>
      </c>
      <c r="C7" s="532"/>
      <c r="D7" s="532" t="s">
        <v>8</v>
      </c>
      <c r="E7" s="533" t="s">
        <v>8</v>
      </c>
      <c r="F7" s="532"/>
      <c r="G7" s="532"/>
      <c r="H7" s="532"/>
      <c r="I7" s="532"/>
      <c r="J7" s="532"/>
      <c r="K7" s="534"/>
    </row>
    <row r="8" spans="2:13" ht="13.5" thickBot="1">
      <c r="B8" s="910" t="s">
        <v>119</v>
      </c>
      <c r="C8" s="912" t="s">
        <v>61</v>
      </c>
      <c r="D8" s="914" t="s">
        <v>60</v>
      </c>
      <c r="E8" s="914"/>
      <c r="F8" s="914"/>
      <c r="G8" s="914"/>
      <c r="H8" s="916" t="s">
        <v>171</v>
      </c>
      <c r="I8" s="918" t="s">
        <v>59</v>
      </c>
      <c r="J8" s="920" t="s">
        <v>407</v>
      </c>
      <c r="K8" s="905" t="s">
        <v>408</v>
      </c>
    </row>
    <row r="9" spans="2:13" ht="13.5" thickBot="1">
      <c r="B9" s="911"/>
      <c r="C9" s="913"/>
      <c r="D9" s="915"/>
      <c r="E9" s="915"/>
      <c r="F9" s="915"/>
      <c r="G9" s="915"/>
      <c r="H9" s="917"/>
      <c r="I9" s="919"/>
      <c r="J9" s="912"/>
      <c r="K9" s="906"/>
    </row>
    <row r="10" spans="2:13" ht="13.5" thickBot="1">
      <c r="B10" s="395">
        <v>1</v>
      </c>
      <c r="C10" s="396"/>
      <c r="D10" s="397" t="s">
        <v>409</v>
      </c>
      <c r="E10" s="397"/>
      <c r="F10" s="396"/>
      <c r="G10" s="397"/>
      <c r="H10" s="398"/>
      <c r="I10" s="399"/>
      <c r="J10" s="400"/>
      <c r="K10" s="401"/>
    </row>
    <row r="11" spans="2:13" ht="18" customHeight="1">
      <c r="B11" s="402" t="s">
        <v>54</v>
      </c>
      <c r="C11" s="403">
        <v>90777</v>
      </c>
      <c r="D11" s="404" t="s">
        <v>410</v>
      </c>
      <c r="E11" s="99"/>
      <c r="F11" s="405"/>
      <c r="G11" s="406"/>
      <c r="H11" s="407" t="s">
        <v>411</v>
      </c>
      <c r="I11" s="408">
        <v>4</v>
      </c>
      <c r="J11" s="409">
        <f>87.57*2*3*4</f>
        <v>2101.6799999999998</v>
      </c>
      <c r="K11" s="410">
        <f>I11*J11</f>
        <v>8406.7199999999993</v>
      </c>
    </row>
    <row r="12" spans="2:13" ht="18" customHeight="1">
      <c r="B12" s="225" t="s">
        <v>53</v>
      </c>
      <c r="C12" s="411">
        <v>90776</v>
      </c>
      <c r="D12" s="80" t="s">
        <v>640</v>
      </c>
      <c r="E12" s="87"/>
      <c r="F12" s="412"/>
      <c r="G12" s="413"/>
      <c r="H12" s="411" t="s">
        <v>411</v>
      </c>
      <c r="I12" s="414">
        <v>4</v>
      </c>
      <c r="J12" s="415">
        <f>41.45*8*4</f>
        <v>1326.4</v>
      </c>
      <c r="K12" s="416">
        <f t="shared" ref="K12" si="0">I12*J12</f>
        <v>5305.6</v>
      </c>
    </row>
    <row r="13" spans="2:13" ht="18" customHeight="1">
      <c r="B13" s="225"/>
      <c r="C13" s="411"/>
      <c r="D13" s="80"/>
      <c r="E13" s="87"/>
      <c r="F13" s="412"/>
      <c r="G13" s="413"/>
      <c r="H13" s="411"/>
      <c r="I13" s="414"/>
      <c r="J13" s="417"/>
      <c r="K13" s="416"/>
    </row>
    <row r="14" spans="2:13" ht="18" customHeight="1" thickBot="1">
      <c r="B14" s="418"/>
      <c r="C14" s="419"/>
      <c r="D14" s="420"/>
      <c r="E14" s="421"/>
      <c r="F14" s="422"/>
      <c r="G14" s="423"/>
      <c r="H14" s="424"/>
      <c r="I14" s="425"/>
      <c r="J14" s="426"/>
      <c r="K14" s="427"/>
      <c r="M14" s="86"/>
    </row>
    <row r="15" spans="2:13" ht="13.5" thickBot="1">
      <c r="B15" s="535" t="s">
        <v>412</v>
      </c>
      <c r="C15" s="536"/>
      <c r="D15" s="536"/>
      <c r="E15" s="536"/>
      <c r="F15" s="536"/>
      <c r="G15" s="536"/>
      <c r="H15" s="536"/>
      <c r="I15" s="537"/>
      <c r="J15" s="537"/>
      <c r="K15" s="538">
        <f>SUM(K11:K14)</f>
        <v>13712.32</v>
      </c>
    </row>
    <row r="16" spans="2:13" ht="13.5" thickBot="1">
      <c r="B16" s="539" t="s">
        <v>413</v>
      </c>
      <c r="C16" s="540"/>
      <c r="D16" s="540"/>
      <c r="E16" s="540"/>
      <c r="F16" s="540"/>
      <c r="G16" s="540"/>
      <c r="H16" s="540"/>
      <c r="I16" s="541"/>
      <c r="J16" s="541"/>
      <c r="K16" s="542">
        <f>K15/100</f>
        <v>137.1232</v>
      </c>
    </row>
    <row r="17" spans="2:11" ht="12.75">
      <c r="B17" s="44" t="s">
        <v>556</v>
      </c>
      <c r="C17" s="428"/>
      <c r="D17" s="428"/>
      <c r="E17" s="428"/>
      <c r="F17" s="428"/>
      <c r="G17" s="428"/>
      <c r="H17" s="428"/>
      <c r="I17" s="429"/>
      <c r="J17" s="429"/>
      <c r="K17" s="430"/>
    </row>
    <row r="18" spans="2:11" ht="14.85" customHeight="1" thickBot="1">
      <c r="B18" s="746" t="s">
        <v>557</v>
      </c>
      <c r="C18" s="65"/>
      <c r="D18" s="65"/>
      <c r="E18" s="65"/>
      <c r="F18" s="65"/>
      <c r="G18" s="65"/>
      <c r="H18" s="65"/>
      <c r="I18" s="433"/>
      <c r="J18" s="433"/>
      <c r="K18" s="747"/>
    </row>
  </sheetData>
  <mergeCells count="10">
    <mergeCell ref="K8:K9"/>
    <mergeCell ref="B2:K2"/>
    <mergeCell ref="B3:K3"/>
    <mergeCell ref="B4:K4"/>
    <mergeCell ref="B8:B9"/>
    <mergeCell ref="C8:C9"/>
    <mergeCell ref="D8:G9"/>
    <mergeCell ref="H8:H9"/>
    <mergeCell ref="I8:I9"/>
    <mergeCell ref="J8:J9"/>
  </mergeCells>
  <printOptions horizontalCentered="1"/>
  <pageMargins left="1.1811023622047245" right="1.1811023622047245" top="1.1811023622047245" bottom="0.98425196850393704" header="0.31496062992125984" footer="0.31496062992125984"/>
  <pageSetup paperSize="9" scale="69" orientation="landscape" horizontalDpi="1200" verticalDpi="1200" r:id="rId1"/>
</worksheet>
</file>

<file path=xl/worksheets/sheet8.xml><?xml version="1.0" encoding="utf-8"?>
<worksheet xmlns="http://schemas.openxmlformats.org/spreadsheetml/2006/main" xmlns:r="http://schemas.openxmlformats.org/officeDocument/2006/relationships">
  <sheetPr>
    <pageSetUpPr fitToPage="1"/>
  </sheetPr>
  <dimension ref="A1:E34"/>
  <sheetViews>
    <sheetView zoomScale="90" zoomScaleNormal="90" workbookViewId="0">
      <selection activeCell="D42" sqref="D42"/>
    </sheetView>
  </sheetViews>
  <sheetFormatPr defaultRowHeight="12.75"/>
  <cols>
    <col min="1" max="1" width="9.5703125" style="163" customWidth="1"/>
    <col min="2" max="2" width="31.7109375" style="164" bestFit="1" customWidth="1"/>
    <col min="3" max="3" width="10.28515625" style="164" customWidth="1"/>
    <col min="4" max="4" width="2.28515625" style="165" bestFit="1" customWidth="1"/>
    <col min="5" max="5" width="32.28515625" style="165" customWidth="1"/>
    <col min="6" max="16384" width="9.140625" style="166"/>
  </cols>
  <sheetData>
    <row r="1" spans="1:5" ht="15" customHeight="1"/>
    <row r="2" spans="1:5" ht="15" customHeight="1"/>
    <row r="3" spans="1:5" s="159" customFormat="1" ht="15" customHeight="1" thickBot="1">
      <c r="A3" s="927"/>
      <c r="B3" s="927"/>
      <c r="C3" s="927"/>
      <c r="D3" s="927"/>
      <c r="E3" s="927"/>
    </row>
    <row r="4" spans="1:5" s="311" customFormat="1" ht="15" customHeight="1">
      <c r="A4" s="928"/>
      <c r="B4" s="929"/>
      <c r="C4" s="929"/>
      <c r="D4" s="929"/>
      <c r="E4" s="930"/>
    </row>
    <row r="5" spans="1:5" s="311" customFormat="1" ht="15" customHeight="1">
      <c r="A5" s="931" t="s">
        <v>228</v>
      </c>
      <c r="B5" s="932"/>
      <c r="C5" s="932"/>
      <c r="D5" s="932"/>
      <c r="E5" s="933"/>
    </row>
    <row r="6" spans="1:5" s="311" customFormat="1" ht="15" customHeight="1">
      <c r="A6" s="931"/>
      <c r="B6" s="932"/>
      <c r="C6" s="932"/>
      <c r="D6" s="932"/>
      <c r="E6" s="933"/>
    </row>
    <row r="7" spans="1:5" s="160" customFormat="1" ht="15" customHeight="1" thickBot="1">
      <c r="A7" s="394" t="s">
        <v>197</v>
      </c>
      <c r="B7" s="934" t="s">
        <v>403</v>
      </c>
      <c r="C7" s="934"/>
      <c r="D7" s="935"/>
      <c r="E7" s="936"/>
    </row>
    <row r="8" spans="1:5" s="311" customFormat="1" ht="15" customHeight="1">
      <c r="A8" s="172" t="s">
        <v>229</v>
      </c>
      <c r="B8" s="173" t="s">
        <v>230</v>
      </c>
      <c r="C8" s="174">
        <v>7.4000000000000003E-3</v>
      </c>
      <c r="D8" s="175" t="s">
        <v>231</v>
      </c>
      <c r="E8" s="176" t="s">
        <v>232</v>
      </c>
    </row>
    <row r="9" spans="1:5" s="311" customFormat="1" ht="15" customHeight="1">
      <c r="A9" s="177"/>
      <c r="B9" s="178"/>
      <c r="C9" s="179"/>
      <c r="D9" s="180"/>
      <c r="E9" s="181"/>
    </row>
    <row r="10" spans="1:5" s="311" customFormat="1" ht="15" customHeight="1">
      <c r="A10" s="172" t="s">
        <v>203</v>
      </c>
      <c r="B10" s="173" t="s">
        <v>233</v>
      </c>
      <c r="C10" s="174">
        <v>9.7000000000000003E-3</v>
      </c>
      <c r="D10" s="175" t="s">
        <v>231</v>
      </c>
      <c r="E10" s="176" t="s">
        <v>232</v>
      </c>
    </row>
    <row r="11" spans="1:5" s="311" customFormat="1" ht="15" customHeight="1">
      <c r="A11" s="177"/>
      <c r="B11" s="178"/>
      <c r="C11" s="179"/>
      <c r="D11" s="180"/>
      <c r="E11" s="181"/>
    </row>
    <row r="12" spans="1:5" s="311" customFormat="1" ht="15" customHeight="1">
      <c r="A12" s="172" t="s">
        <v>204</v>
      </c>
      <c r="B12" s="173" t="s">
        <v>234</v>
      </c>
      <c r="C12" s="174">
        <v>1.21E-2</v>
      </c>
      <c r="D12" s="175" t="s">
        <v>231</v>
      </c>
      <c r="E12" s="176" t="s">
        <v>232</v>
      </c>
    </row>
    <row r="13" spans="1:5" s="311" customFormat="1" ht="15" customHeight="1">
      <c r="A13" s="177"/>
      <c r="B13" s="178"/>
      <c r="C13" s="179"/>
      <c r="D13" s="180"/>
      <c r="E13" s="181"/>
    </row>
    <row r="14" spans="1:5" s="311" customFormat="1" ht="15" customHeight="1">
      <c r="A14" s="172" t="s">
        <v>202</v>
      </c>
      <c r="B14" s="173" t="s">
        <v>235</v>
      </c>
      <c r="C14" s="174">
        <v>4.6699999999999998E-2</v>
      </c>
      <c r="D14" s="175" t="s">
        <v>231</v>
      </c>
      <c r="E14" s="176" t="s">
        <v>232</v>
      </c>
    </row>
    <row r="15" spans="1:5" s="311" customFormat="1" ht="15" customHeight="1">
      <c r="A15" s="182"/>
      <c r="B15" s="178"/>
      <c r="C15" s="179"/>
      <c r="D15" s="180"/>
      <c r="E15" s="181"/>
    </row>
    <row r="16" spans="1:5" s="311" customFormat="1" ht="15" customHeight="1">
      <c r="A16" s="172" t="s">
        <v>205</v>
      </c>
      <c r="B16" s="173" t="s">
        <v>236</v>
      </c>
      <c r="C16" s="174">
        <v>8.6900000000000005E-2</v>
      </c>
      <c r="D16" s="175" t="s">
        <v>231</v>
      </c>
      <c r="E16" s="176" t="s">
        <v>232</v>
      </c>
    </row>
    <row r="17" spans="1:5" s="311" customFormat="1" ht="15" customHeight="1">
      <c r="A17" s="182"/>
      <c r="B17" s="183"/>
      <c r="C17" s="184"/>
      <c r="D17" s="180"/>
      <c r="E17" s="181"/>
    </row>
    <row r="18" spans="1:5" s="311" customFormat="1" ht="15" customHeight="1">
      <c r="A18" s="172" t="s">
        <v>206</v>
      </c>
      <c r="B18" s="173" t="s">
        <v>237</v>
      </c>
      <c r="C18" s="174">
        <f>C20+C22+C24</f>
        <v>5.6499999999999995E-2</v>
      </c>
      <c r="D18" s="175" t="s">
        <v>231</v>
      </c>
      <c r="E18" s="176" t="s">
        <v>232</v>
      </c>
    </row>
    <row r="19" spans="1:5" s="311" customFormat="1" ht="15" customHeight="1">
      <c r="A19" s="177"/>
      <c r="B19" s="178"/>
      <c r="C19" s="179"/>
      <c r="D19" s="180"/>
      <c r="E19" s="181"/>
    </row>
    <row r="20" spans="1:5" s="311" customFormat="1" ht="15" customHeight="1">
      <c r="A20" s="185"/>
      <c r="B20" s="173" t="s">
        <v>238</v>
      </c>
      <c r="C20" s="186">
        <v>6.4999999999999997E-3</v>
      </c>
      <c r="D20" s="175"/>
      <c r="E20" s="176"/>
    </row>
    <row r="21" spans="1:5" s="311" customFormat="1" ht="15" customHeight="1">
      <c r="A21" s="177"/>
      <c r="B21" s="178"/>
      <c r="C21" s="187"/>
      <c r="D21" s="180"/>
      <c r="E21" s="181"/>
    </row>
    <row r="22" spans="1:5" s="311" customFormat="1" ht="15" customHeight="1">
      <c r="A22" s="185"/>
      <c r="B22" s="188" t="s">
        <v>239</v>
      </c>
      <c r="C22" s="189">
        <v>0.03</v>
      </c>
      <c r="D22" s="175"/>
      <c r="E22" s="176" t="s">
        <v>232</v>
      </c>
    </row>
    <row r="23" spans="1:5" s="311" customFormat="1" ht="15" customHeight="1">
      <c r="A23" s="177"/>
      <c r="B23" s="178"/>
      <c r="C23" s="190"/>
      <c r="D23" s="180"/>
      <c r="E23" s="181"/>
    </row>
    <row r="24" spans="1:5" s="311" customFormat="1" ht="15" customHeight="1">
      <c r="A24" s="185"/>
      <c r="B24" s="173" t="s">
        <v>240</v>
      </c>
      <c r="C24" s="189">
        <v>0.02</v>
      </c>
      <c r="D24" s="175"/>
      <c r="E24" s="176" t="s">
        <v>232</v>
      </c>
    </row>
    <row r="25" spans="1:5" s="311" customFormat="1" ht="15" customHeight="1">
      <c r="A25" s="177"/>
      <c r="B25" s="178"/>
      <c r="C25" s="190"/>
      <c r="D25" s="180"/>
      <c r="E25" s="181"/>
    </row>
    <row r="26" spans="1:5" s="311" customFormat="1" ht="15" customHeight="1">
      <c r="A26" s="191"/>
      <c r="B26" s="173" t="s">
        <v>241</v>
      </c>
      <c r="C26" s="174">
        <v>0</v>
      </c>
      <c r="D26" s="175"/>
      <c r="E26" s="176" t="s">
        <v>232</v>
      </c>
    </row>
    <row r="27" spans="1:5" s="311" customFormat="1" ht="15" customHeight="1">
      <c r="A27" s="192"/>
      <c r="B27" s="183"/>
      <c r="C27" s="193"/>
      <c r="D27" s="194"/>
      <c r="E27" s="195"/>
    </row>
    <row r="28" spans="1:5" s="311" customFormat="1" ht="15" customHeight="1">
      <c r="A28" s="196"/>
      <c r="B28" s="197"/>
      <c r="C28" s="198"/>
      <c r="D28" s="199"/>
      <c r="E28" s="200"/>
    </row>
    <row r="29" spans="1:5" s="311" customFormat="1" ht="15" customHeight="1">
      <c r="A29" s="196"/>
      <c r="B29" s="197"/>
      <c r="C29" s="198"/>
      <c r="D29" s="199"/>
      <c r="E29" s="200"/>
    </row>
    <row r="30" spans="1:5" s="311" customFormat="1" ht="12" customHeight="1">
      <c r="A30" s="201"/>
      <c r="B30" s="937"/>
      <c r="C30" s="937"/>
      <c r="D30" s="937"/>
      <c r="E30" s="202"/>
    </row>
    <row r="31" spans="1:5" s="311" customFormat="1" ht="12" customHeight="1">
      <c r="A31" s="203"/>
      <c r="B31" s="204"/>
      <c r="C31" s="204"/>
      <c r="D31" s="204"/>
      <c r="E31" s="205"/>
    </row>
    <row r="32" spans="1:5" s="311" customFormat="1" ht="12" customHeight="1">
      <c r="A32" s="921" t="s">
        <v>242</v>
      </c>
      <c r="B32" s="922"/>
      <c r="C32" s="923">
        <f>(((1+C14+C10+C8)*(1+C12)*(1+C16))/(1-C18))-1</f>
        <v>0.24031242719872803</v>
      </c>
      <c r="D32" s="923"/>
      <c r="E32" s="205"/>
    </row>
    <row r="33" spans="1:5" s="311" customFormat="1" ht="12" customHeight="1" thickBot="1">
      <c r="A33" s="171"/>
      <c r="B33" s="161"/>
      <c r="C33" s="161"/>
      <c r="D33" s="162"/>
      <c r="E33" s="206"/>
    </row>
    <row r="34" spans="1:5" s="311" customFormat="1" ht="91.5" customHeight="1" thickBot="1">
      <c r="A34" s="924" t="s">
        <v>243</v>
      </c>
      <c r="B34" s="925"/>
      <c r="C34" s="925"/>
      <c r="D34" s="925"/>
      <c r="E34" s="926"/>
    </row>
  </sheetData>
  <mergeCells count="9">
    <mergeCell ref="A32:B32"/>
    <mergeCell ref="C32:D32"/>
    <mergeCell ref="A34:E34"/>
    <mergeCell ref="A3:E3"/>
    <mergeCell ref="A4:E4"/>
    <mergeCell ref="A5:E6"/>
    <mergeCell ref="B7:C7"/>
    <mergeCell ref="D7:E7"/>
    <mergeCell ref="B30:D30"/>
  </mergeCells>
  <printOptions horizontalCentered="1"/>
  <pageMargins left="1.1811023622047245" right="0.98425196850393704" top="1.1811023622047245" bottom="0.78740157480314965" header="0.31496062992125984" footer="0.31496062992125984"/>
  <pageSetup paperSize="9" scale="92" orientation="portrait" horizontalDpi="300" verticalDpi="300" r:id="rId1"/>
  <drawing r:id="rId2"/>
</worksheet>
</file>

<file path=xl/worksheets/sheet9.xml><?xml version="1.0" encoding="utf-8"?>
<worksheet xmlns="http://schemas.openxmlformats.org/spreadsheetml/2006/main" xmlns:r="http://schemas.openxmlformats.org/officeDocument/2006/relationships">
  <sheetPr codeName="Plan1"/>
  <dimension ref="B2:Q89"/>
  <sheetViews>
    <sheetView workbookViewId="0"/>
  </sheetViews>
  <sheetFormatPr defaultRowHeight="12.75"/>
  <cols>
    <col min="1" max="1" width="2.28515625" style="235" customWidth="1"/>
    <col min="2" max="3" width="6" style="235" customWidth="1"/>
    <col min="4" max="4" width="10.42578125" style="235" customWidth="1"/>
    <col min="5" max="5" width="20.140625" style="235" customWidth="1"/>
    <col min="6" max="6" width="27.5703125" style="235" customWidth="1"/>
    <col min="7" max="7" width="11.28515625" style="235" customWidth="1"/>
    <col min="8" max="8" width="11" style="236" customWidth="1"/>
    <col min="9" max="9" width="9.140625" style="235"/>
    <col min="10" max="10" width="2.7109375" style="235" customWidth="1"/>
    <col min="11" max="14" width="9.140625" style="237"/>
    <col min="15" max="256" width="9.140625" style="235"/>
    <col min="257" max="257" width="2.28515625" style="235" customWidth="1"/>
    <col min="258" max="259" width="6" style="235" customWidth="1"/>
    <col min="260" max="260" width="10.42578125" style="235" customWidth="1"/>
    <col min="261" max="261" width="20.140625" style="235" customWidth="1"/>
    <col min="262" max="262" width="27.5703125" style="235" customWidth="1"/>
    <col min="263" max="263" width="11.28515625" style="235" customWidth="1"/>
    <col min="264" max="264" width="11" style="235" customWidth="1"/>
    <col min="265" max="265" width="9.140625" style="235"/>
    <col min="266" max="266" width="2.7109375" style="235" customWidth="1"/>
    <col min="267" max="512" width="9.140625" style="235"/>
    <col min="513" max="513" width="2.28515625" style="235" customWidth="1"/>
    <col min="514" max="515" width="6" style="235" customWidth="1"/>
    <col min="516" max="516" width="10.42578125" style="235" customWidth="1"/>
    <col min="517" max="517" width="20.140625" style="235" customWidth="1"/>
    <col min="518" max="518" width="27.5703125" style="235" customWidth="1"/>
    <col min="519" max="519" width="11.28515625" style="235" customWidth="1"/>
    <col min="520" max="520" width="11" style="235" customWidth="1"/>
    <col min="521" max="521" width="9.140625" style="235"/>
    <col min="522" max="522" width="2.7109375" style="235" customWidth="1"/>
    <col min="523" max="768" width="9.140625" style="235"/>
    <col min="769" max="769" width="2.28515625" style="235" customWidth="1"/>
    <col min="770" max="771" width="6" style="235" customWidth="1"/>
    <col min="772" max="772" width="10.42578125" style="235" customWidth="1"/>
    <col min="773" max="773" width="20.140625" style="235" customWidth="1"/>
    <col min="774" max="774" width="27.5703125" style="235" customWidth="1"/>
    <col min="775" max="775" width="11.28515625" style="235" customWidth="1"/>
    <col min="776" max="776" width="11" style="235" customWidth="1"/>
    <col min="777" max="777" width="9.140625" style="235"/>
    <col min="778" max="778" width="2.7109375" style="235" customWidth="1"/>
    <col min="779" max="1024" width="9.140625" style="235"/>
    <col min="1025" max="1025" width="2.28515625" style="235" customWidth="1"/>
    <col min="1026" max="1027" width="6" style="235" customWidth="1"/>
    <col min="1028" max="1028" width="10.42578125" style="235" customWidth="1"/>
    <col min="1029" max="1029" width="20.140625" style="235" customWidth="1"/>
    <col min="1030" max="1030" width="27.5703125" style="235" customWidth="1"/>
    <col min="1031" max="1031" width="11.28515625" style="235" customWidth="1"/>
    <col min="1032" max="1032" width="11" style="235" customWidth="1"/>
    <col min="1033" max="1033" width="9.140625" style="235"/>
    <col min="1034" max="1034" width="2.7109375" style="235" customWidth="1"/>
    <col min="1035" max="1280" width="9.140625" style="235"/>
    <col min="1281" max="1281" width="2.28515625" style="235" customWidth="1"/>
    <col min="1282" max="1283" width="6" style="235" customWidth="1"/>
    <col min="1284" max="1284" width="10.42578125" style="235" customWidth="1"/>
    <col min="1285" max="1285" width="20.140625" style="235" customWidth="1"/>
    <col min="1286" max="1286" width="27.5703125" style="235" customWidth="1"/>
    <col min="1287" max="1287" width="11.28515625" style="235" customWidth="1"/>
    <col min="1288" max="1288" width="11" style="235" customWidth="1"/>
    <col min="1289" max="1289" width="9.140625" style="235"/>
    <col min="1290" max="1290" width="2.7109375" style="235" customWidth="1"/>
    <col min="1291" max="1536" width="9.140625" style="235"/>
    <col min="1537" max="1537" width="2.28515625" style="235" customWidth="1"/>
    <col min="1538" max="1539" width="6" style="235" customWidth="1"/>
    <col min="1540" max="1540" width="10.42578125" style="235" customWidth="1"/>
    <col min="1541" max="1541" width="20.140625" style="235" customWidth="1"/>
    <col min="1542" max="1542" width="27.5703125" style="235" customWidth="1"/>
    <col min="1543" max="1543" width="11.28515625" style="235" customWidth="1"/>
    <col min="1544" max="1544" width="11" style="235" customWidth="1"/>
    <col min="1545" max="1545" width="9.140625" style="235"/>
    <col min="1546" max="1546" width="2.7109375" style="235" customWidth="1"/>
    <col min="1547" max="1792" width="9.140625" style="235"/>
    <col min="1793" max="1793" width="2.28515625" style="235" customWidth="1"/>
    <col min="1794" max="1795" width="6" style="235" customWidth="1"/>
    <col min="1796" max="1796" width="10.42578125" style="235" customWidth="1"/>
    <col min="1797" max="1797" width="20.140625" style="235" customWidth="1"/>
    <col min="1798" max="1798" width="27.5703125" style="235" customWidth="1"/>
    <col min="1799" max="1799" width="11.28515625" style="235" customWidth="1"/>
    <col min="1800" max="1800" width="11" style="235" customWidth="1"/>
    <col min="1801" max="1801" width="9.140625" style="235"/>
    <col min="1802" max="1802" width="2.7109375" style="235" customWidth="1"/>
    <col min="1803" max="2048" width="9.140625" style="235"/>
    <col min="2049" max="2049" width="2.28515625" style="235" customWidth="1"/>
    <col min="2050" max="2051" width="6" style="235" customWidth="1"/>
    <col min="2052" max="2052" width="10.42578125" style="235" customWidth="1"/>
    <col min="2053" max="2053" width="20.140625" style="235" customWidth="1"/>
    <col min="2054" max="2054" width="27.5703125" style="235" customWidth="1"/>
    <col min="2055" max="2055" width="11.28515625" style="235" customWidth="1"/>
    <col min="2056" max="2056" width="11" style="235" customWidth="1"/>
    <col min="2057" max="2057" width="9.140625" style="235"/>
    <col min="2058" max="2058" width="2.7109375" style="235" customWidth="1"/>
    <col min="2059" max="2304" width="9.140625" style="235"/>
    <col min="2305" max="2305" width="2.28515625" style="235" customWidth="1"/>
    <col min="2306" max="2307" width="6" style="235" customWidth="1"/>
    <col min="2308" max="2308" width="10.42578125" style="235" customWidth="1"/>
    <col min="2309" max="2309" width="20.140625" style="235" customWidth="1"/>
    <col min="2310" max="2310" width="27.5703125" style="235" customWidth="1"/>
    <col min="2311" max="2311" width="11.28515625" style="235" customWidth="1"/>
    <col min="2312" max="2312" width="11" style="235" customWidth="1"/>
    <col min="2313" max="2313" width="9.140625" style="235"/>
    <col min="2314" max="2314" width="2.7109375" style="235" customWidth="1"/>
    <col min="2315" max="2560" width="9.140625" style="235"/>
    <col min="2561" max="2561" width="2.28515625" style="235" customWidth="1"/>
    <col min="2562" max="2563" width="6" style="235" customWidth="1"/>
    <col min="2564" max="2564" width="10.42578125" style="235" customWidth="1"/>
    <col min="2565" max="2565" width="20.140625" style="235" customWidth="1"/>
    <col min="2566" max="2566" width="27.5703125" style="235" customWidth="1"/>
    <col min="2567" max="2567" width="11.28515625" style="235" customWidth="1"/>
    <col min="2568" max="2568" width="11" style="235" customWidth="1"/>
    <col min="2569" max="2569" width="9.140625" style="235"/>
    <col min="2570" max="2570" width="2.7109375" style="235" customWidth="1"/>
    <col min="2571" max="2816" width="9.140625" style="235"/>
    <col min="2817" max="2817" width="2.28515625" style="235" customWidth="1"/>
    <col min="2818" max="2819" width="6" style="235" customWidth="1"/>
    <col min="2820" max="2820" width="10.42578125" style="235" customWidth="1"/>
    <col min="2821" max="2821" width="20.140625" style="235" customWidth="1"/>
    <col min="2822" max="2822" width="27.5703125" style="235" customWidth="1"/>
    <col min="2823" max="2823" width="11.28515625" style="235" customWidth="1"/>
    <col min="2824" max="2824" width="11" style="235" customWidth="1"/>
    <col min="2825" max="2825" width="9.140625" style="235"/>
    <col min="2826" max="2826" width="2.7109375" style="235" customWidth="1"/>
    <col min="2827" max="3072" width="9.140625" style="235"/>
    <col min="3073" max="3073" width="2.28515625" style="235" customWidth="1"/>
    <col min="3074" max="3075" width="6" style="235" customWidth="1"/>
    <col min="3076" max="3076" width="10.42578125" style="235" customWidth="1"/>
    <col min="3077" max="3077" width="20.140625" style="235" customWidth="1"/>
    <col min="3078" max="3078" width="27.5703125" style="235" customWidth="1"/>
    <col min="3079" max="3079" width="11.28515625" style="235" customWidth="1"/>
    <col min="3080" max="3080" width="11" style="235" customWidth="1"/>
    <col min="3081" max="3081" width="9.140625" style="235"/>
    <col min="3082" max="3082" width="2.7109375" style="235" customWidth="1"/>
    <col min="3083" max="3328" width="9.140625" style="235"/>
    <col min="3329" max="3329" width="2.28515625" style="235" customWidth="1"/>
    <col min="3330" max="3331" width="6" style="235" customWidth="1"/>
    <col min="3332" max="3332" width="10.42578125" style="235" customWidth="1"/>
    <col min="3333" max="3333" width="20.140625" style="235" customWidth="1"/>
    <col min="3334" max="3334" width="27.5703125" style="235" customWidth="1"/>
    <col min="3335" max="3335" width="11.28515625" style="235" customWidth="1"/>
    <col min="3336" max="3336" width="11" style="235" customWidth="1"/>
    <col min="3337" max="3337" width="9.140625" style="235"/>
    <col min="3338" max="3338" width="2.7109375" style="235" customWidth="1"/>
    <col min="3339" max="3584" width="9.140625" style="235"/>
    <col min="3585" max="3585" width="2.28515625" style="235" customWidth="1"/>
    <col min="3586" max="3587" width="6" style="235" customWidth="1"/>
    <col min="3588" max="3588" width="10.42578125" style="235" customWidth="1"/>
    <col min="3589" max="3589" width="20.140625" style="235" customWidth="1"/>
    <col min="3590" max="3590" width="27.5703125" style="235" customWidth="1"/>
    <col min="3591" max="3591" width="11.28515625" style="235" customWidth="1"/>
    <col min="3592" max="3592" width="11" style="235" customWidth="1"/>
    <col min="3593" max="3593" width="9.140625" style="235"/>
    <col min="3594" max="3594" width="2.7109375" style="235" customWidth="1"/>
    <col min="3595" max="3840" width="9.140625" style="235"/>
    <col min="3841" max="3841" width="2.28515625" style="235" customWidth="1"/>
    <col min="3842" max="3843" width="6" style="235" customWidth="1"/>
    <col min="3844" max="3844" width="10.42578125" style="235" customWidth="1"/>
    <col min="3845" max="3845" width="20.140625" style="235" customWidth="1"/>
    <col min="3846" max="3846" width="27.5703125" style="235" customWidth="1"/>
    <col min="3847" max="3847" width="11.28515625" style="235" customWidth="1"/>
    <col min="3848" max="3848" width="11" style="235" customWidth="1"/>
    <col min="3849" max="3849" width="9.140625" style="235"/>
    <col min="3850" max="3850" width="2.7109375" style="235" customWidth="1"/>
    <col min="3851" max="4096" width="9.140625" style="235"/>
    <col min="4097" max="4097" width="2.28515625" style="235" customWidth="1"/>
    <col min="4098" max="4099" width="6" style="235" customWidth="1"/>
    <col min="4100" max="4100" width="10.42578125" style="235" customWidth="1"/>
    <col min="4101" max="4101" width="20.140625" style="235" customWidth="1"/>
    <col min="4102" max="4102" width="27.5703125" style="235" customWidth="1"/>
    <col min="4103" max="4103" width="11.28515625" style="235" customWidth="1"/>
    <col min="4104" max="4104" width="11" style="235" customWidth="1"/>
    <col min="4105" max="4105" width="9.140625" style="235"/>
    <col min="4106" max="4106" width="2.7109375" style="235" customWidth="1"/>
    <col min="4107" max="4352" width="9.140625" style="235"/>
    <col min="4353" max="4353" width="2.28515625" style="235" customWidth="1"/>
    <col min="4354" max="4355" width="6" style="235" customWidth="1"/>
    <col min="4356" max="4356" width="10.42578125" style="235" customWidth="1"/>
    <col min="4357" max="4357" width="20.140625" style="235" customWidth="1"/>
    <col min="4358" max="4358" width="27.5703125" style="235" customWidth="1"/>
    <col min="4359" max="4359" width="11.28515625" style="235" customWidth="1"/>
    <col min="4360" max="4360" width="11" style="235" customWidth="1"/>
    <col min="4361" max="4361" width="9.140625" style="235"/>
    <col min="4362" max="4362" width="2.7109375" style="235" customWidth="1"/>
    <col min="4363" max="4608" width="9.140625" style="235"/>
    <col min="4609" max="4609" width="2.28515625" style="235" customWidth="1"/>
    <col min="4610" max="4611" width="6" style="235" customWidth="1"/>
    <col min="4612" max="4612" width="10.42578125" style="235" customWidth="1"/>
    <col min="4613" max="4613" width="20.140625" style="235" customWidth="1"/>
    <col min="4614" max="4614" width="27.5703125" style="235" customWidth="1"/>
    <col min="4615" max="4615" width="11.28515625" style="235" customWidth="1"/>
    <col min="4616" max="4616" width="11" style="235" customWidth="1"/>
    <col min="4617" max="4617" width="9.140625" style="235"/>
    <col min="4618" max="4618" width="2.7109375" style="235" customWidth="1"/>
    <col min="4619" max="4864" width="9.140625" style="235"/>
    <col min="4865" max="4865" width="2.28515625" style="235" customWidth="1"/>
    <col min="4866" max="4867" width="6" style="235" customWidth="1"/>
    <col min="4868" max="4868" width="10.42578125" style="235" customWidth="1"/>
    <col min="4869" max="4869" width="20.140625" style="235" customWidth="1"/>
    <col min="4870" max="4870" width="27.5703125" style="235" customWidth="1"/>
    <col min="4871" max="4871" width="11.28515625" style="235" customWidth="1"/>
    <col min="4872" max="4872" width="11" style="235" customWidth="1"/>
    <col min="4873" max="4873" width="9.140625" style="235"/>
    <col min="4874" max="4874" width="2.7109375" style="235" customWidth="1"/>
    <col min="4875" max="5120" width="9.140625" style="235"/>
    <col min="5121" max="5121" width="2.28515625" style="235" customWidth="1"/>
    <col min="5122" max="5123" width="6" style="235" customWidth="1"/>
    <col min="5124" max="5124" width="10.42578125" style="235" customWidth="1"/>
    <col min="5125" max="5125" width="20.140625" style="235" customWidth="1"/>
    <col min="5126" max="5126" width="27.5703125" style="235" customWidth="1"/>
    <col min="5127" max="5127" width="11.28515625" style="235" customWidth="1"/>
    <col min="5128" max="5128" width="11" style="235" customWidth="1"/>
    <col min="5129" max="5129" width="9.140625" style="235"/>
    <col min="5130" max="5130" width="2.7109375" style="235" customWidth="1"/>
    <col min="5131" max="5376" width="9.140625" style="235"/>
    <col min="5377" max="5377" width="2.28515625" style="235" customWidth="1"/>
    <col min="5378" max="5379" width="6" style="235" customWidth="1"/>
    <col min="5380" max="5380" width="10.42578125" style="235" customWidth="1"/>
    <col min="5381" max="5381" width="20.140625" style="235" customWidth="1"/>
    <col min="5382" max="5382" width="27.5703125" style="235" customWidth="1"/>
    <col min="5383" max="5383" width="11.28515625" style="235" customWidth="1"/>
    <col min="5384" max="5384" width="11" style="235" customWidth="1"/>
    <col min="5385" max="5385" width="9.140625" style="235"/>
    <col min="5386" max="5386" width="2.7109375" style="235" customWidth="1"/>
    <col min="5387" max="5632" width="9.140625" style="235"/>
    <col min="5633" max="5633" width="2.28515625" style="235" customWidth="1"/>
    <col min="5634" max="5635" width="6" style="235" customWidth="1"/>
    <col min="5636" max="5636" width="10.42578125" style="235" customWidth="1"/>
    <col min="5637" max="5637" width="20.140625" style="235" customWidth="1"/>
    <col min="5638" max="5638" width="27.5703125" style="235" customWidth="1"/>
    <col min="5639" max="5639" width="11.28515625" style="235" customWidth="1"/>
    <col min="5640" max="5640" width="11" style="235" customWidth="1"/>
    <col min="5641" max="5641" width="9.140625" style="235"/>
    <col min="5642" max="5642" width="2.7109375" style="235" customWidth="1"/>
    <col min="5643" max="5888" width="9.140625" style="235"/>
    <col min="5889" max="5889" width="2.28515625" style="235" customWidth="1"/>
    <col min="5890" max="5891" width="6" style="235" customWidth="1"/>
    <col min="5892" max="5892" width="10.42578125" style="235" customWidth="1"/>
    <col min="5893" max="5893" width="20.140625" style="235" customWidth="1"/>
    <col min="5894" max="5894" width="27.5703125" style="235" customWidth="1"/>
    <col min="5895" max="5895" width="11.28515625" style="235" customWidth="1"/>
    <col min="5896" max="5896" width="11" style="235" customWidth="1"/>
    <col min="5897" max="5897" width="9.140625" style="235"/>
    <col min="5898" max="5898" width="2.7109375" style="235" customWidth="1"/>
    <col min="5899" max="6144" width="9.140625" style="235"/>
    <col min="6145" max="6145" width="2.28515625" style="235" customWidth="1"/>
    <col min="6146" max="6147" width="6" style="235" customWidth="1"/>
    <col min="6148" max="6148" width="10.42578125" style="235" customWidth="1"/>
    <col min="6149" max="6149" width="20.140625" style="235" customWidth="1"/>
    <col min="6150" max="6150" width="27.5703125" style="235" customWidth="1"/>
    <col min="6151" max="6151" width="11.28515625" style="235" customWidth="1"/>
    <col min="6152" max="6152" width="11" style="235" customWidth="1"/>
    <col min="6153" max="6153" width="9.140625" style="235"/>
    <col min="6154" max="6154" width="2.7109375" style="235" customWidth="1"/>
    <col min="6155" max="6400" width="9.140625" style="235"/>
    <col min="6401" max="6401" width="2.28515625" style="235" customWidth="1"/>
    <col min="6402" max="6403" width="6" style="235" customWidth="1"/>
    <col min="6404" max="6404" width="10.42578125" style="235" customWidth="1"/>
    <col min="6405" max="6405" width="20.140625" style="235" customWidth="1"/>
    <col min="6406" max="6406" width="27.5703125" style="235" customWidth="1"/>
    <col min="6407" max="6407" width="11.28515625" style="235" customWidth="1"/>
    <col min="6408" max="6408" width="11" style="235" customWidth="1"/>
    <col min="6409" max="6409" width="9.140625" style="235"/>
    <col min="6410" max="6410" width="2.7109375" style="235" customWidth="1"/>
    <col min="6411" max="6656" width="9.140625" style="235"/>
    <col min="6657" max="6657" width="2.28515625" style="235" customWidth="1"/>
    <col min="6658" max="6659" width="6" style="235" customWidth="1"/>
    <col min="6660" max="6660" width="10.42578125" style="235" customWidth="1"/>
    <col min="6661" max="6661" width="20.140625" style="235" customWidth="1"/>
    <col min="6662" max="6662" width="27.5703125" style="235" customWidth="1"/>
    <col min="6663" max="6663" width="11.28515625" style="235" customWidth="1"/>
    <col min="6664" max="6664" width="11" style="235" customWidth="1"/>
    <col min="6665" max="6665" width="9.140625" style="235"/>
    <col min="6666" max="6666" width="2.7109375" style="235" customWidth="1"/>
    <col min="6667" max="6912" width="9.140625" style="235"/>
    <col min="6913" max="6913" width="2.28515625" style="235" customWidth="1"/>
    <col min="6914" max="6915" width="6" style="235" customWidth="1"/>
    <col min="6916" max="6916" width="10.42578125" style="235" customWidth="1"/>
    <col min="6917" max="6917" width="20.140625" style="235" customWidth="1"/>
    <col min="6918" max="6918" width="27.5703125" style="235" customWidth="1"/>
    <col min="6919" max="6919" width="11.28515625" style="235" customWidth="1"/>
    <col min="6920" max="6920" width="11" style="235" customWidth="1"/>
    <col min="6921" max="6921" width="9.140625" style="235"/>
    <col min="6922" max="6922" width="2.7109375" style="235" customWidth="1"/>
    <col min="6923" max="7168" width="9.140625" style="235"/>
    <col min="7169" max="7169" width="2.28515625" style="235" customWidth="1"/>
    <col min="7170" max="7171" width="6" style="235" customWidth="1"/>
    <col min="7172" max="7172" width="10.42578125" style="235" customWidth="1"/>
    <col min="7173" max="7173" width="20.140625" style="235" customWidth="1"/>
    <col min="7174" max="7174" width="27.5703125" style="235" customWidth="1"/>
    <col min="7175" max="7175" width="11.28515625" style="235" customWidth="1"/>
    <col min="7176" max="7176" width="11" style="235" customWidth="1"/>
    <col min="7177" max="7177" width="9.140625" style="235"/>
    <col min="7178" max="7178" width="2.7109375" style="235" customWidth="1"/>
    <col min="7179" max="7424" width="9.140625" style="235"/>
    <col min="7425" max="7425" width="2.28515625" style="235" customWidth="1"/>
    <col min="7426" max="7427" width="6" style="235" customWidth="1"/>
    <col min="7428" max="7428" width="10.42578125" style="235" customWidth="1"/>
    <col min="7429" max="7429" width="20.140625" style="235" customWidth="1"/>
    <col min="7430" max="7430" width="27.5703125" style="235" customWidth="1"/>
    <col min="7431" max="7431" width="11.28515625" style="235" customWidth="1"/>
    <col min="7432" max="7432" width="11" style="235" customWidth="1"/>
    <col min="7433" max="7433" width="9.140625" style="235"/>
    <col min="7434" max="7434" width="2.7109375" style="235" customWidth="1"/>
    <col min="7435" max="7680" width="9.140625" style="235"/>
    <col min="7681" max="7681" width="2.28515625" style="235" customWidth="1"/>
    <col min="7682" max="7683" width="6" style="235" customWidth="1"/>
    <col min="7684" max="7684" width="10.42578125" style="235" customWidth="1"/>
    <col min="7685" max="7685" width="20.140625" style="235" customWidth="1"/>
    <col min="7686" max="7686" width="27.5703125" style="235" customWidth="1"/>
    <col min="7687" max="7687" width="11.28515625" style="235" customWidth="1"/>
    <col min="7688" max="7688" width="11" style="235" customWidth="1"/>
    <col min="7689" max="7689" width="9.140625" style="235"/>
    <col min="7690" max="7690" width="2.7109375" style="235" customWidth="1"/>
    <col min="7691" max="7936" width="9.140625" style="235"/>
    <col min="7937" max="7937" width="2.28515625" style="235" customWidth="1"/>
    <col min="7938" max="7939" width="6" style="235" customWidth="1"/>
    <col min="7940" max="7940" width="10.42578125" style="235" customWidth="1"/>
    <col min="7941" max="7941" width="20.140625" style="235" customWidth="1"/>
    <col min="7942" max="7942" width="27.5703125" style="235" customWidth="1"/>
    <col min="7943" max="7943" width="11.28515625" style="235" customWidth="1"/>
    <col min="7944" max="7944" width="11" style="235" customWidth="1"/>
    <col min="7945" max="7945" width="9.140625" style="235"/>
    <col min="7946" max="7946" width="2.7109375" style="235" customWidth="1"/>
    <col min="7947" max="8192" width="9.140625" style="235"/>
    <col min="8193" max="8193" width="2.28515625" style="235" customWidth="1"/>
    <col min="8194" max="8195" width="6" style="235" customWidth="1"/>
    <col min="8196" max="8196" width="10.42578125" style="235" customWidth="1"/>
    <col min="8197" max="8197" width="20.140625" style="235" customWidth="1"/>
    <col min="8198" max="8198" width="27.5703125" style="235" customWidth="1"/>
    <col min="8199" max="8199" width="11.28515625" style="235" customWidth="1"/>
    <col min="8200" max="8200" width="11" style="235" customWidth="1"/>
    <col min="8201" max="8201" width="9.140625" style="235"/>
    <col min="8202" max="8202" width="2.7109375" style="235" customWidth="1"/>
    <col min="8203" max="8448" width="9.140625" style="235"/>
    <col min="8449" max="8449" width="2.28515625" style="235" customWidth="1"/>
    <col min="8450" max="8451" width="6" style="235" customWidth="1"/>
    <col min="8452" max="8452" width="10.42578125" style="235" customWidth="1"/>
    <col min="8453" max="8453" width="20.140625" style="235" customWidth="1"/>
    <col min="8454" max="8454" width="27.5703125" style="235" customWidth="1"/>
    <col min="8455" max="8455" width="11.28515625" style="235" customWidth="1"/>
    <col min="8456" max="8456" width="11" style="235" customWidth="1"/>
    <col min="8457" max="8457" width="9.140625" style="235"/>
    <col min="8458" max="8458" width="2.7109375" style="235" customWidth="1"/>
    <col min="8459" max="8704" width="9.140625" style="235"/>
    <col min="8705" max="8705" width="2.28515625" style="235" customWidth="1"/>
    <col min="8706" max="8707" width="6" style="235" customWidth="1"/>
    <col min="8708" max="8708" width="10.42578125" style="235" customWidth="1"/>
    <col min="8709" max="8709" width="20.140625" style="235" customWidth="1"/>
    <col min="8710" max="8710" width="27.5703125" style="235" customWidth="1"/>
    <col min="8711" max="8711" width="11.28515625" style="235" customWidth="1"/>
    <col min="8712" max="8712" width="11" style="235" customWidth="1"/>
    <col min="8713" max="8713" width="9.140625" style="235"/>
    <col min="8714" max="8714" width="2.7109375" style="235" customWidth="1"/>
    <col min="8715" max="8960" width="9.140625" style="235"/>
    <col min="8961" max="8961" width="2.28515625" style="235" customWidth="1"/>
    <col min="8962" max="8963" width="6" style="235" customWidth="1"/>
    <col min="8964" max="8964" width="10.42578125" style="235" customWidth="1"/>
    <col min="8965" max="8965" width="20.140625" style="235" customWidth="1"/>
    <col min="8966" max="8966" width="27.5703125" style="235" customWidth="1"/>
    <col min="8967" max="8967" width="11.28515625" style="235" customWidth="1"/>
    <col min="8968" max="8968" width="11" style="235" customWidth="1"/>
    <col min="8969" max="8969" width="9.140625" style="235"/>
    <col min="8970" max="8970" width="2.7109375" style="235" customWidth="1"/>
    <col min="8971" max="9216" width="9.140625" style="235"/>
    <col min="9217" max="9217" width="2.28515625" style="235" customWidth="1"/>
    <col min="9218" max="9219" width="6" style="235" customWidth="1"/>
    <col min="9220" max="9220" width="10.42578125" style="235" customWidth="1"/>
    <col min="9221" max="9221" width="20.140625" style="235" customWidth="1"/>
    <col min="9222" max="9222" width="27.5703125" style="235" customWidth="1"/>
    <col min="9223" max="9223" width="11.28515625" style="235" customWidth="1"/>
    <col min="9224" max="9224" width="11" style="235" customWidth="1"/>
    <col min="9225" max="9225" width="9.140625" style="235"/>
    <col min="9226" max="9226" width="2.7109375" style="235" customWidth="1"/>
    <col min="9227" max="9472" width="9.140625" style="235"/>
    <col min="9473" max="9473" width="2.28515625" style="235" customWidth="1"/>
    <col min="9474" max="9475" width="6" style="235" customWidth="1"/>
    <col min="9476" max="9476" width="10.42578125" style="235" customWidth="1"/>
    <col min="9477" max="9477" width="20.140625" style="235" customWidth="1"/>
    <col min="9478" max="9478" width="27.5703125" style="235" customWidth="1"/>
    <col min="9479" max="9479" width="11.28515625" style="235" customWidth="1"/>
    <col min="9480" max="9480" width="11" style="235" customWidth="1"/>
    <col min="9481" max="9481" width="9.140625" style="235"/>
    <col min="9482" max="9482" width="2.7109375" style="235" customWidth="1"/>
    <col min="9483" max="9728" width="9.140625" style="235"/>
    <col min="9729" max="9729" width="2.28515625" style="235" customWidth="1"/>
    <col min="9730" max="9731" width="6" style="235" customWidth="1"/>
    <col min="9732" max="9732" width="10.42578125" style="235" customWidth="1"/>
    <col min="9733" max="9733" width="20.140625" style="235" customWidth="1"/>
    <col min="9734" max="9734" width="27.5703125" style="235" customWidth="1"/>
    <col min="9735" max="9735" width="11.28515625" style="235" customWidth="1"/>
    <col min="9736" max="9736" width="11" style="235" customWidth="1"/>
    <col min="9737" max="9737" width="9.140625" style="235"/>
    <col min="9738" max="9738" width="2.7109375" style="235" customWidth="1"/>
    <col min="9739" max="9984" width="9.140625" style="235"/>
    <col min="9985" max="9985" width="2.28515625" style="235" customWidth="1"/>
    <col min="9986" max="9987" width="6" style="235" customWidth="1"/>
    <col min="9988" max="9988" width="10.42578125" style="235" customWidth="1"/>
    <col min="9989" max="9989" width="20.140625" style="235" customWidth="1"/>
    <col min="9990" max="9990" width="27.5703125" style="235" customWidth="1"/>
    <col min="9991" max="9991" width="11.28515625" style="235" customWidth="1"/>
    <col min="9992" max="9992" width="11" style="235" customWidth="1"/>
    <col min="9993" max="9993" width="9.140625" style="235"/>
    <col min="9994" max="9994" width="2.7109375" style="235" customWidth="1"/>
    <col min="9995" max="10240" width="9.140625" style="235"/>
    <col min="10241" max="10241" width="2.28515625" style="235" customWidth="1"/>
    <col min="10242" max="10243" width="6" style="235" customWidth="1"/>
    <col min="10244" max="10244" width="10.42578125" style="235" customWidth="1"/>
    <col min="10245" max="10245" width="20.140625" style="235" customWidth="1"/>
    <col min="10246" max="10246" width="27.5703125" style="235" customWidth="1"/>
    <col min="10247" max="10247" width="11.28515625" style="235" customWidth="1"/>
    <col min="10248" max="10248" width="11" style="235" customWidth="1"/>
    <col min="10249" max="10249" width="9.140625" style="235"/>
    <col min="10250" max="10250" width="2.7109375" style="235" customWidth="1"/>
    <col min="10251" max="10496" width="9.140625" style="235"/>
    <col min="10497" max="10497" width="2.28515625" style="235" customWidth="1"/>
    <col min="10498" max="10499" width="6" style="235" customWidth="1"/>
    <col min="10500" max="10500" width="10.42578125" style="235" customWidth="1"/>
    <col min="10501" max="10501" width="20.140625" style="235" customWidth="1"/>
    <col min="10502" max="10502" width="27.5703125" style="235" customWidth="1"/>
    <col min="10503" max="10503" width="11.28515625" style="235" customWidth="1"/>
    <col min="10504" max="10504" width="11" style="235" customWidth="1"/>
    <col min="10505" max="10505" width="9.140625" style="235"/>
    <col min="10506" max="10506" width="2.7109375" style="235" customWidth="1"/>
    <col min="10507" max="10752" width="9.140625" style="235"/>
    <col min="10753" max="10753" width="2.28515625" style="235" customWidth="1"/>
    <col min="10754" max="10755" width="6" style="235" customWidth="1"/>
    <col min="10756" max="10756" width="10.42578125" style="235" customWidth="1"/>
    <col min="10757" max="10757" width="20.140625" style="235" customWidth="1"/>
    <col min="10758" max="10758" width="27.5703125" style="235" customWidth="1"/>
    <col min="10759" max="10759" width="11.28515625" style="235" customWidth="1"/>
    <col min="10760" max="10760" width="11" style="235" customWidth="1"/>
    <col min="10761" max="10761" width="9.140625" style="235"/>
    <col min="10762" max="10762" width="2.7109375" style="235" customWidth="1"/>
    <col min="10763" max="11008" width="9.140625" style="235"/>
    <col min="11009" max="11009" width="2.28515625" style="235" customWidth="1"/>
    <col min="11010" max="11011" width="6" style="235" customWidth="1"/>
    <col min="11012" max="11012" width="10.42578125" style="235" customWidth="1"/>
    <col min="11013" max="11013" width="20.140625" style="235" customWidth="1"/>
    <col min="11014" max="11014" width="27.5703125" style="235" customWidth="1"/>
    <col min="11015" max="11015" width="11.28515625" style="235" customWidth="1"/>
    <col min="11016" max="11016" width="11" style="235" customWidth="1"/>
    <col min="11017" max="11017" width="9.140625" style="235"/>
    <col min="11018" max="11018" width="2.7109375" style="235" customWidth="1"/>
    <col min="11019" max="11264" width="9.140625" style="235"/>
    <col min="11265" max="11265" width="2.28515625" style="235" customWidth="1"/>
    <col min="11266" max="11267" width="6" style="235" customWidth="1"/>
    <col min="11268" max="11268" width="10.42578125" style="235" customWidth="1"/>
    <col min="11269" max="11269" width="20.140625" style="235" customWidth="1"/>
    <col min="11270" max="11270" width="27.5703125" style="235" customWidth="1"/>
    <col min="11271" max="11271" width="11.28515625" style="235" customWidth="1"/>
    <col min="11272" max="11272" width="11" style="235" customWidth="1"/>
    <col min="11273" max="11273" width="9.140625" style="235"/>
    <col min="11274" max="11274" width="2.7109375" style="235" customWidth="1"/>
    <col min="11275" max="11520" width="9.140625" style="235"/>
    <col min="11521" max="11521" width="2.28515625" style="235" customWidth="1"/>
    <col min="11522" max="11523" width="6" style="235" customWidth="1"/>
    <col min="11524" max="11524" width="10.42578125" style="235" customWidth="1"/>
    <col min="11525" max="11525" width="20.140625" style="235" customWidth="1"/>
    <col min="11526" max="11526" width="27.5703125" style="235" customWidth="1"/>
    <col min="11527" max="11527" width="11.28515625" style="235" customWidth="1"/>
    <col min="11528" max="11528" width="11" style="235" customWidth="1"/>
    <col min="11529" max="11529" width="9.140625" style="235"/>
    <col min="11530" max="11530" width="2.7109375" style="235" customWidth="1"/>
    <col min="11531" max="11776" width="9.140625" style="235"/>
    <col min="11777" max="11777" width="2.28515625" style="235" customWidth="1"/>
    <col min="11778" max="11779" width="6" style="235" customWidth="1"/>
    <col min="11780" max="11780" width="10.42578125" style="235" customWidth="1"/>
    <col min="11781" max="11781" width="20.140625" style="235" customWidth="1"/>
    <col min="11782" max="11782" width="27.5703125" style="235" customWidth="1"/>
    <col min="11783" max="11783" width="11.28515625" style="235" customWidth="1"/>
    <col min="11784" max="11784" width="11" style="235" customWidth="1"/>
    <col min="11785" max="11785" width="9.140625" style="235"/>
    <col min="11786" max="11786" width="2.7109375" style="235" customWidth="1"/>
    <col min="11787" max="12032" width="9.140625" style="235"/>
    <col min="12033" max="12033" width="2.28515625" style="235" customWidth="1"/>
    <col min="12034" max="12035" width="6" style="235" customWidth="1"/>
    <col min="12036" max="12036" width="10.42578125" style="235" customWidth="1"/>
    <col min="12037" max="12037" width="20.140625" style="235" customWidth="1"/>
    <col min="12038" max="12038" width="27.5703125" style="235" customWidth="1"/>
    <col min="12039" max="12039" width="11.28515625" style="235" customWidth="1"/>
    <col min="12040" max="12040" width="11" style="235" customWidth="1"/>
    <col min="12041" max="12041" width="9.140625" style="235"/>
    <col min="12042" max="12042" width="2.7109375" style="235" customWidth="1"/>
    <col min="12043" max="12288" width="9.140625" style="235"/>
    <col min="12289" max="12289" width="2.28515625" style="235" customWidth="1"/>
    <col min="12290" max="12291" width="6" style="235" customWidth="1"/>
    <col min="12292" max="12292" width="10.42578125" style="235" customWidth="1"/>
    <col min="12293" max="12293" width="20.140625" style="235" customWidth="1"/>
    <col min="12294" max="12294" width="27.5703125" style="235" customWidth="1"/>
    <col min="12295" max="12295" width="11.28515625" style="235" customWidth="1"/>
    <col min="12296" max="12296" width="11" style="235" customWidth="1"/>
    <col min="12297" max="12297" width="9.140625" style="235"/>
    <col min="12298" max="12298" width="2.7109375" style="235" customWidth="1"/>
    <col min="12299" max="12544" width="9.140625" style="235"/>
    <col min="12545" max="12545" width="2.28515625" style="235" customWidth="1"/>
    <col min="12546" max="12547" width="6" style="235" customWidth="1"/>
    <col min="12548" max="12548" width="10.42578125" style="235" customWidth="1"/>
    <col min="12549" max="12549" width="20.140625" style="235" customWidth="1"/>
    <col min="12550" max="12550" width="27.5703125" style="235" customWidth="1"/>
    <col min="12551" max="12551" width="11.28515625" style="235" customWidth="1"/>
    <col min="12552" max="12552" width="11" style="235" customWidth="1"/>
    <col min="12553" max="12553" width="9.140625" style="235"/>
    <col min="12554" max="12554" width="2.7109375" style="235" customWidth="1"/>
    <col min="12555" max="12800" width="9.140625" style="235"/>
    <col min="12801" max="12801" width="2.28515625" style="235" customWidth="1"/>
    <col min="12802" max="12803" width="6" style="235" customWidth="1"/>
    <col min="12804" max="12804" width="10.42578125" style="235" customWidth="1"/>
    <col min="12805" max="12805" width="20.140625" style="235" customWidth="1"/>
    <col min="12806" max="12806" width="27.5703125" style="235" customWidth="1"/>
    <col min="12807" max="12807" width="11.28515625" style="235" customWidth="1"/>
    <col min="12808" max="12808" width="11" style="235" customWidth="1"/>
    <col min="12809" max="12809" width="9.140625" style="235"/>
    <col min="12810" max="12810" width="2.7109375" style="235" customWidth="1"/>
    <col min="12811" max="13056" width="9.140625" style="235"/>
    <col min="13057" max="13057" width="2.28515625" style="235" customWidth="1"/>
    <col min="13058" max="13059" width="6" style="235" customWidth="1"/>
    <col min="13060" max="13060" width="10.42578125" style="235" customWidth="1"/>
    <col min="13061" max="13061" width="20.140625" style="235" customWidth="1"/>
    <col min="13062" max="13062" width="27.5703125" style="235" customWidth="1"/>
    <col min="13063" max="13063" width="11.28515625" style="235" customWidth="1"/>
    <col min="13064" max="13064" width="11" style="235" customWidth="1"/>
    <col min="13065" max="13065" width="9.140625" style="235"/>
    <col min="13066" max="13066" width="2.7109375" style="235" customWidth="1"/>
    <col min="13067" max="13312" width="9.140625" style="235"/>
    <col min="13313" max="13313" width="2.28515625" style="235" customWidth="1"/>
    <col min="13314" max="13315" width="6" style="235" customWidth="1"/>
    <col min="13316" max="13316" width="10.42578125" style="235" customWidth="1"/>
    <col min="13317" max="13317" width="20.140625" style="235" customWidth="1"/>
    <col min="13318" max="13318" width="27.5703125" style="235" customWidth="1"/>
    <col min="13319" max="13319" width="11.28515625" style="235" customWidth="1"/>
    <col min="13320" max="13320" width="11" style="235" customWidth="1"/>
    <col min="13321" max="13321" width="9.140625" style="235"/>
    <col min="13322" max="13322" width="2.7109375" style="235" customWidth="1"/>
    <col min="13323" max="13568" width="9.140625" style="235"/>
    <col min="13569" max="13569" width="2.28515625" style="235" customWidth="1"/>
    <col min="13570" max="13571" width="6" style="235" customWidth="1"/>
    <col min="13572" max="13572" width="10.42578125" style="235" customWidth="1"/>
    <col min="13573" max="13573" width="20.140625" style="235" customWidth="1"/>
    <col min="13574" max="13574" width="27.5703125" style="235" customWidth="1"/>
    <col min="13575" max="13575" width="11.28515625" style="235" customWidth="1"/>
    <col min="13576" max="13576" width="11" style="235" customWidth="1"/>
    <col min="13577" max="13577" width="9.140625" style="235"/>
    <col min="13578" max="13578" width="2.7109375" style="235" customWidth="1"/>
    <col min="13579" max="13824" width="9.140625" style="235"/>
    <col min="13825" max="13825" width="2.28515625" style="235" customWidth="1"/>
    <col min="13826" max="13827" width="6" style="235" customWidth="1"/>
    <col min="13828" max="13828" width="10.42578125" style="235" customWidth="1"/>
    <col min="13829" max="13829" width="20.140625" style="235" customWidth="1"/>
    <col min="13830" max="13830" width="27.5703125" style="235" customWidth="1"/>
    <col min="13831" max="13831" width="11.28515625" style="235" customWidth="1"/>
    <col min="13832" max="13832" width="11" style="235" customWidth="1"/>
    <col min="13833" max="13833" width="9.140625" style="235"/>
    <col min="13834" max="13834" width="2.7109375" style="235" customWidth="1"/>
    <col min="13835" max="14080" width="9.140625" style="235"/>
    <col min="14081" max="14081" width="2.28515625" style="235" customWidth="1"/>
    <col min="14082" max="14083" width="6" style="235" customWidth="1"/>
    <col min="14084" max="14084" width="10.42578125" style="235" customWidth="1"/>
    <col min="14085" max="14085" width="20.140625" style="235" customWidth="1"/>
    <col min="14086" max="14086" width="27.5703125" style="235" customWidth="1"/>
    <col min="14087" max="14087" width="11.28515625" style="235" customWidth="1"/>
    <col min="14088" max="14088" width="11" style="235" customWidth="1"/>
    <col min="14089" max="14089" width="9.140625" style="235"/>
    <col min="14090" max="14090" width="2.7109375" style="235" customWidth="1"/>
    <col min="14091" max="14336" width="9.140625" style="235"/>
    <col min="14337" max="14337" width="2.28515625" style="235" customWidth="1"/>
    <col min="14338" max="14339" width="6" style="235" customWidth="1"/>
    <col min="14340" max="14340" width="10.42578125" style="235" customWidth="1"/>
    <col min="14341" max="14341" width="20.140625" style="235" customWidth="1"/>
    <col min="14342" max="14342" width="27.5703125" style="235" customWidth="1"/>
    <col min="14343" max="14343" width="11.28515625" style="235" customWidth="1"/>
    <col min="14344" max="14344" width="11" style="235" customWidth="1"/>
    <col min="14345" max="14345" width="9.140625" style="235"/>
    <col min="14346" max="14346" width="2.7109375" style="235" customWidth="1"/>
    <col min="14347" max="14592" width="9.140625" style="235"/>
    <col min="14593" max="14593" width="2.28515625" style="235" customWidth="1"/>
    <col min="14594" max="14595" width="6" style="235" customWidth="1"/>
    <col min="14596" max="14596" width="10.42578125" style="235" customWidth="1"/>
    <col min="14597" max="14597" width="20.140625" style="235" customWidth="1"/>
    <col min="14598" max="14598" width="27.5703125" style="235" customWidth="1"/>
    <col min="14599" max="14599" width="11.28515625" style="235" customWidth="1"/>
    <col min="14600" max="14600" width="11" style="235" customWidth="1"/>
    <col min="14601" max="14601" width="9.140625" style="235"/>
    <col min="14602" max="14602" width="2.7109375" style="235" customWidth="1"/>
    <col min="14603" max="14848" width="9.140625" style="235"/>
    <col min="14849" max="14849" width="2.28515625" style="235" customWidth="1"/>
    <col min="14850" max="14851" width="6" style="235" customWidth="1"/>
    <col min="14852" max="14852" width="10.42578125" style="235" customWidth="1"/>
    <col min="14853" max="14853" width="20.140625" style="235" customWidth="1"/>
    <col min="14854" max="14854" width="27.5703125" style="235" customWidth="1"/>
    <col min="14855" max="14855" width="11.28515625" style="235" customWidth="1"/>
    <col min="14856" max="14856" width="11" style="235" customWidth="1"/>
    <col min="14857" max="14857" width="9.140625" style="235"/>
    <col min="14858" max="14858" width="2.7109375" style="235" customWidth="1"/>
    <col min="14859" max="15104" width="9.140625" style="235"/>
    <col min="15105" max="15105" width="2.28515625" style="235" customWidth="1"/>
    <col min="15106" max="15107" width="6" style="235" customWidth="1"/>
    <col min="15108" max="15108" width="10.42578125" style="235" customWidth="1"/>
    <col min="15109" max="15109" width="20.140625" style="235" customWidth="1"/>
    <col min="15110" max="15110" width="27.5703125" style="235" customWidth="1"/>
    <col min="15111" max="15111" width="11.28515625" style="235" customWidth="1"/>
    <col min="15112" max="15112" width="11" style="235" customWidth="1"/>
    <col min="15113" max="15113" width="9.140625" style="235"/>
    <col min="15114" max="15114" width="2.7109375" style="235" customWidth="1"/>
    <col min="15115" max="15360" width="9.140625" style="235"/>
    <col min="15361" max="15361" width="2.28515625" style="235" customWidth="1"/>
    <col min="15362" max="15363" width="6" style="235" customWidth="1"/>
    <col min="15364" max="15364" width="10.42578125" style="235" customWidth="1"/>
    <col min="15365" max="15365" width="20.140625" style="235" customWidth="1"/>
    <col min="15366" max="15366" width="27.5703125" style="235" customWidth="1"/>
    <col min="15367" max="15367" width="11.28515625" style="235" customWidth="1"/>
    <col min="15368" max="15368" width="11" style="235" customWidth="1"/>
    <col min="15369" max="15369" width="9.140625" style="235"/>
    <col min="15370" max="15370" width="2.7109375" style="235" customWidth="1"/>
    <col min="15371" max="15616" width="9.140625" style="235"/>
    <col min="15617" max="15617" width="2.28515625" style="235" customWidth="1"/>
    <col min="15618" max="15619" width="6" style="235" customWidth="1"/>
    <col min="15620" max="15620" width="10.42578125" style="235" customWidth="1"/>
    <col min="15621" max="15621" width="20.140625" style="235" customWidth="1"/>
    <col min="15622" max="15622" width="27.5703125" style="235" customWidth="1"/>
    <col min="15623" max="15623" width="11.28515625" style="235" customWidth="1"/>
    <col min="15624" max="15624" width="11" style="235" customWidth="1"/>
    <col min="15625" max="15625" width="9.140625" style="235"/>
    <col min="15626" max="15626" width="2.7109375" style="235" customWidth="1"/>
    <col min="15627" max="15872" width="9.140625" style="235"/>
    <col min="15873" max="15873" width="2.28515625" style="235" customWidth="1"/>
    <col min="15874" max="15875" width="6" style="235" customWidth="1"/>
    <col min="15876" max="15876" width="10.42578125" style="235" customWidth="1"/>
    <col min="15877" max="15877" width="20.140625" style="235" customWidth="1"/>
    <col min="15878" max="15878" width="27.5703125" style="235" customWidth="1"/>
    <col min="15879" max="15879" width="11.28515625" style="235" customWidth="1"/>
    <col min="15880" max="15880" width="11" style="235" customWidth="1"/>
    <col min="15881" max="15881" width="9.140625" style="235"/>
    <col min="15882" max="15882" width="2.7109375" style="235" customWidth="1"/>
    <col min="15883" max="16128" width="9.140625" style="235"/>
    <col min="16129" max="16129" width="2.28515625" style="235" customWidth="1"/>
    <col min="16130" max="16131" width="6" style="235" customWidth="1"/>
    <col min="16132" max="16132" width="10.42578125" style="235" customWidth="1"/>
    <col min="16133" max="16133" width="20.140625" style="235" customWidth="1"/>
    <col min="16134" max="16134" width="27.5703125" style="235" customWidth="1"/>
    <col min="16135" max="16135" width="11.28515625" style="235" customWidth="1"/>
    <col min="16136" max="16136" width="11" style="235" customWidth="1"/>
    <col min="16137" max="16137" width="9.140625" style="235"/>
    <col min="16138" max="16138" width="2.7109375" style="235" customWidth="1"/>
    <col min="16139" max="16384" width="9.140625" style="235"/>
  </cols>
  <sheetData>
    <row r="2" spans="2:17">
      <c r="B2" s="234" t="s">
        <v>258</v>
      </c>
    </row>
    <row r="3" spans="2:17">
      <c r="B3" s="234" t="s">
        <v>259</v>
      </c>
    </row>
    <row r="4" spans="2:17">
      <c r="B4" s="234"/>
    </row>
    <row r="5" spans="2:17">
      <c r="F5" s="238" t="str">
        <f>IF(E6="Empresa","digite o nome da empresa","digite o nome do Município")</f>
        <v>digite o nome do Município</v>
      </c>
      <c r="G5" s="239"/>
      <c r="H5" s="240" t="s">
        <v>260</v>
      </c>
      <c r="I5" s="239" t="s">
        <v>261</v>
      </c>
      <c r="J5" s="241"/>
    </row>
    <row r="6" spans="2:17">
      <c r="B6" s="242" t="s">
        <v>262</v>
      </c>
      <c r="E6" s="243" t="s">
        <v>260</v>
      </c>
      <c r="F6" s="244" t="s">
        <v>263</v>
      </c>
      <c r="G6" s="237" t="str">
        <f>IF(E6="empresa","",E6)</f>
        <v>Prefeitura Municipal de</v>
      </c>
      <c r="H6" s="245"/>
      <c r="I6" s="245"/>
      <c r="J6" s="246"/>
      <c r="O6" s="247"/>
      <c r="P6" s="247"/>
      <c r="Q6" s="247"/>
    </row>
    <row r="7" spans="2:17">
      <c r="B7" s="242" t="s">
        <v>264</v>
      </c>
      <c r="E7" s="940" t="s">
        <v>263</v>
      </c>
      <c r="F7" s="941"/>
      <c r="G7" s="237"/>
      <c r="H7" s="245"/>
      <c r="I7" s="245"/>
      <c r="J7" s="246"/>
      <c r="O7" s="247"/>
      <c r="P7" s="247"/>
      <c r="Q7" s="247"/>
    </row>
    <row r="8" spans="2:17">
      <c r="B8" s="242" t="s">
        <v>265</v>
      </c>
      <c r="E8" s="938" t="s">
        <v>266</v>
      </c>
      <c r="F8" s="939"/>
      <c r="H8" s="248"/>
      <c r="I8" s="248"/>
      <c r="J8" s="246"/>
      <c r="O8" s="247"/>
      <c r="P8" s="247"/>
      <c r="Q8" s="247"/>
    </row>
    <row r="9" spans="2:17">
      <c r="B9" s="242" t="s">
        <v>267</v>
      </c>
      <c r="E9" s="938" t="s">
        <v>268</v>
      </c>
      <c r="F9" s="939"/>
      <c r="H9" s="248"/>
      <c r="I9" s="248"/>
      <c r="J9" s="246"/>
      <c r="O9" s="247"/>
      <c r="P9" s="247"/>
      <c r="Q9" s="247"/>
    </row>
    <row r="10" spans="2:17">
      <c r="B10" s="242" t="s">
        <v>269</v>
      </c>
      <c r="E10" s="938" t="s">
        <v>270</v>
      </c>
      <c r="F10" s="939"/>
      <c r="H10" s="248"/>
      <c r="I10" s="248"/>
      <c r="J10" s="246"/>
      <c r="O10" s="247"/>
      <c r="P10" s="247"/>
      <c r="Q10" s="247"/>
    </row>
    <row r="11" spans="2:17">
      <c r="B11" s="242" t="s">
        <v>257</v>
      </c>
      <c r="E11" s="942">
        <f ca="1">TODAY()</f>
        <v>43546</v>
      </c>
      <c r="F11" s="941"/>
      <c r="H11" s="248"/>
      <c r="I11" s="248"/>
      <c r="J11" s="246"/>
      <c r="O11" s="247"/>
      <c r="P11" s="247"/>
      <c r="Q11" s="247"/>
    </row>
    <row r="12" spans="2:17">
      <c r="B12" s="242"/>
      <c r="E12" s="248"/>
      <c r="F12" s="248"/>
      <c r="H12" s="248"/>
      <c r="I12" s="248"/>
      <c r="J12" s="246"/>
      <c r="O12" s="247"/>
      <c r="P12" s="247"/>
      <c r="Q12" s="247"/>
    </row>
    <row r="13" spans="2:17">
      <c r="B13" s="242" t="s">
        <v>271</v>
      </c>
      <c r="E13" s="943" t="s">
        <v>272</v>
      </c>
      <c r="F13" s="943"/>
      <c r="H13" s="248"/>
      <c r="I13" s="248"/>
      <c r="J13" s="246"/>
      <c r="O13" s="247"/>
      <c r="P13" s="247"/>
      <c r="Q13" s="247"/>
    </row>
    <row r="14" spans="2:17">
      <c r="B14" s="944" t="s">
        <v>273</v>
      </c>
      <c r="C14" s="944"/>
      <c r="D14" s="944"/>
      <c r="E14" s="945" t="s">
        <v>363</v>
      </c>
      <c r="F14" s="943"/>
      <c r="H14" s="245" t="s">
        <v>274</v>
      </c>
      <c r="I14" s="245" t="s">
        <v>275</v>
      </c>
      <c r="J14" s="246"/>
      <c r="O14" s="247"/>
      <c r="P14" s="247"/>
      <c r="Q14" s="247"/>
    </row>
    <row r="15" spans="2:17">
      <c r="B15" s="249"/>
      <c r="C15" s="249"/>
      <c r="D15" s="249"/>
      <c r="E15" s="250"/>
      <c r="F15" s="250"/>
      <c r="H15" s="245"/>
      <c r="I15" s="245"/>
      <c r="J15" s="246"/>
      <c r="O15" s="247"/>
      <c r="P15" s="247"/>
      <c r="Q15" s="247"/>
    </row>
    <row r="16" spans="2:17">
      <c r="B16" s="242" t="s">
        <v>276</v>
      </c>
      <c r="E16" s="945" t="s">
        <v>364</v>
      </c>
      <c r="F16" s="943"/>
      <c r="H16" s="245"/>
      <c r="I16" s="245"/>
      <c r="J16" s="246"/>
      <c r="O16" s="247"/>
      <c r="P16" s="247"/>
      <c r="Q16" s="247"/>
    </row>
    <row r="17" spans="2:17">
      <c r="B17" s="242" t="s">
        <v>277</v>
      </c>
      <c r="E17" s="945" t="s">
        <v>365</v>
      </c>
      <c r="F17" s="943"/>
      <c r="H17" s="245"/>
      <c r="I17" s="245"/>
      <c r="J17" s="246"/>
      <c r="O17" s="247"/>
      <c r="P17" s="247"/>
      <c r="Q17" s="247"/>
    </row>
    <row r="18" spans="2:17">
      <c r="H18" s="245"/>
      <c r="I18" s="245"/>
      <c r="J18" s="246"/>
      <c r="O18" s="247"/>
      <c r="P18" s="247"/>
      <c r="Q18" s="247"/>
    </row>
    <row r="19" spans="2:17">
      <c r="B19" s="251" t="s">
        <v>278</v>
      </c>
      <c r="E19" s="943" t="s">
        <v>279</v>
      </c>
      <c r="F19" s="943"/>
      <c r="G19" s="237" t="s">
        <v>279</v>
      </c>
      <c r="H19" s="237" t="s">
        <v>280</v>
      </c>
      <c r="I19" s="239"/>
      <c r="J19" s="246"/>
      <c r="L19" s="237" t="s">
        <v>270</v>
      </c>
      <c r="M19" s="237" t="s">
        <v>281</v>
      </c>
      <c r="O19" s="247"/>
      <c r="P19" s="247"/>
      <c r="Q19" s="247"/>
    </row>
    <row r="20" spans="2:17">
      <c r="B20" s="251"/>
      <c r="E20" s="242"/>
      <c r="F20" s="241"/>
      <c r="H20" s="252"/>
      <c r="I20" s="252"/>
      <c r="J20" s="246"/>
      <c r="O20" s="247"/>
      <c r="P20" s="247"/>
      <c r="Q20" s="247"/>
    </row>
    <row r="21" spans="2:17">
      <c r="B21" s="242" t="s">
        <v>282</v>
      </c>
      <c r="E21" s="253">
        <v>2</v>
      </c>
      <c r="F21" s="252" t="s">
        <v>231</v>
      </c>
      <c r="G21" s="237">
        <v>2</v>
      </c>
      <c r="H21" s="239">
        <v>5</v>
      </c>
      <c r="I21" s="239"/>
      <c r="J21" s="246"/>
      <c r="O21" s="247"/>
      <c r="P21" s="247"/>
      <c r="Q21" s="247"/>
    </row>
    <row r="22" spans="2:17">
      <c r="B22" s="242" t="s">
        <v>283</v>
      </c>
      <c r="E22" s="938" t="s">
        <v>285</v>
      </c>
      <c r="F22" s="939"/>
      <c r="G22" s="237"/>
      <c r="H22" s="245"/>
      <c r="I22" s="245"/>
      <c r="J22" s="246"/>
      <c r="L22" s="237" t="s">
        <v>285</v>
      </c>
      <c r="M22" s="237" t="s">
        <v>284</v>
      </c>
      <c r="O22" s="247"/>
      <c r="P22" s="247"/>
      <c r="Q22" s="247"/>
    </row>
    <row r="23" spans="2:17" ht="12.75" customHeight="1">
      <c r="B23" s="955" t="s">
        <v>286</v>
      </c>
      <c r="C23" s="955"/>
      <c r="D23" s="955"/>
      <c r="E23" s="254">
        <v>60</v>
      </c>
      <c r="F23" s="252" t="s">
        <v>231</v>
      </c>
      <c r="H23" s="252"/>
      <c r="I23" s="252"/>
      <c r="J23" s="246"/>
      <c r="O23" s="247"/>
      <c r="P23" s="247"/>
      <c r="Q23" s="247"/>
    </row>
    <row r="24" spans="2:17">
      <c r="B24" s="955"/>
      <c r="C24" s="955"/>
      <c r="D24" s="955"/>
      <c r="G24" s="241"/>
      <c r="H24" s="255"/>
      <c r="I24" s="241"/>
      <c r="J24" s="246"/>
      <c r="O24" s="247"/>
      <c r="P24" s="247"/>
      <c r="Q24" s="247"/>
    </row>
    <row r="25" spans="2:17" ht="5.25" customHeight="1">
      <c r="B25" s="955"/>
      <c r="C25" s="955"/>
      <c r="D25" s="955"/>
      <c r="G25" s="241"/>
      <c r="H25" s="255"/>
      <c r="I25" s="241"/>
      <c r="J25" s="246"/>
      <c r="O25" s="247"/>
      <c r="P25" s="247"/>
      <c r="Q25" s="247"/>
    </row>
    <row r="26" spans="2:17" ht="5.25" customHeight="1">
      <c r="B26" s="955"/>
      <c r="C26" s="955"/>
      <c r="D26" s="955"/>
      <c r="J26" s="247"/>
      <c r="O26" s="247"/>
      <c r="P26" s="247"/>
      <c r="Q26" s="247"/>
    </row>
    <row r="27" spans="2:17" ht="5.25" customHeight="1"/>
    <row r="28" spans="2:17" ht="5.25" customHeight="1" thickBot="1"/>
    <row r="29" spans="2:17" ht="16.5" thickBot="1">
      <c r="B29" s="956" t="s">
        <v>287</v>
      </c>
      <c r="C29" s="957"/>
      <c r="D29" s="957"/>
      <c r="E29" s="957"/>
      <c r="F29" s="957"/>
      <c r="G29" s="957"/>
      <c r="H29" s="957"/>
      <c r="I29" s="958"/>
      <c r="O29" s="237"/>
      <c r="P29" s="237"/>
      <c r="Q29" s="237"/>
    </row>
    <row r="30" spans="2:17" ht="6" customHeight="1" thickBot="1">
      <c r="O30" s="237"/>
      <c r="P30" s="237"/>
      <c r="Q30" s="237"/>
    </row>
    <row r="31" spans="2:17" ht="26.25" customHeight="1" thickBot="1">
      <c r="B31" s="959" t="s">
        <v>288</v>
      </c>
      <c r="C31" s="960"/>
      <c r="D31" s="961" t="s">
        <v>289</v>
      </c>
      <c r="E31" s="961"/>
      <c r="F31" s="961"/>
      <c r="G31" s="961"/>
      <c r="H31" s="961"/>
      <c r="I31" s="962"/>
      <c r="O31" s="237"/>
      <c r="P31" s="237"/>
      <c r="Q31" s="237"/>
    </row>
    <row r="32" spans="2:17" ht="5.25" customHeight="1" thickBot="1">
      <c r="O32" s="237"/>
      <c r="P32" s="237"/>
      <c r="Q32" s="237"/>
    </row>
    <row r="33" spans="2:17" ht="13.5" thickBot="1">
      <c r="B33" s="963" t="s">
        <v>290</v>
      </c>
      <c r="C33" s="964"/>
      <c r="D33" s="964"/>
      <c r="E33" s="964"/>
      <c r="F33" s="964"/>
      <c r="G33" s="256" t="s">
        <v>291</v>
      </c>
      <c r="H33" s="256" t="s">
        <v>292</v>
      </c>
      <c r="I33" s="257" t="s">
        <v>293</v>
      </c>
      <c r="M33" s="237" t="s">
        <v>294</v>
      </c>
      <c r="O33" s="237"/>
      <c r="P33" s="237" t="s">
        <v>295</v>
      </c>
      <c r="Q33" s="237" t="s">
        <v>293</v>
      </c>
    </row>
    <row r="34" spans="2:17">
      <c r="B34" s="258" t="s">
        <v>202</v>
      </c>
      <c r="C34" s="965" t="s">
        <v>296</v>
      </c>
      <c r="D34" s="966"/>
      <c r="E34" s="966"/>
      <c r="F34" s="967"/>
      <c r="G34" s="259">
        <v>4.67</v>
      </c>
      <c r="H34" s="260">
        <f>VLOOKUP(J34,$O$34:$Q$74,2,FALSE)</f>
        <v>3.8</v>
      </c>
      <c r="I34" s="260">
        <f>VLOOKUP(J34,$O$34:$Q$74,3,FALSE)</f>
        <v>4.67</v>
      </c>
      <c r="J34" s="237" t="str">
        <f>CONCATENATE(LEFT($D$31,1),"a")</f>
        <v>2a</v>
      </c>
      <c r="K34" s="237">
        <v>0</v>
      </c>
      <c r="L34" s="237">
        <f>IF($G$51&gt;$I$51,I34,10000)</f>
        <v>10000</v>
      </c>
      <c r="M34" s="237" t="s">
        <v>289</v>
      </c>
      <c r="O34" s="237" t="s">
        <v>297</v>
      </c>
      <c r="P34" s="261">
        <v>3</v>
      </c>
      <c r="Q34" s="261">
        <v>5.5</v>
      </c>
    </row>
    <row r="35" spans="2:17">
      <c r="B35" s="262" t="s">
        <v>298</v>
      </c>
      <c r="C35" s="968" t="s">
        <v>299</v>
      </c>
      <c r="D35" s="969"/>
      <c r="E35" s="969"/>
      <c r="F35" s="970"/>
      <c r="G35" s="259">
        <v>0.74</v>
      </c>
      <c r="H35" s="260">
        <f>VLOOKUP(J35,$O$34:$Q$74,2,FALSE)</f>
        <v>0.32</v>
      </c>
      <c r="I35" s="260">
        <f>VLOOKUP(J35,$O$34:$Q$74,3,FALSE)</f>
        <v>0.74</v>
      </c>
      <c r="J35" s="237" t="str">
        <f>CONCATENATE(LEFT($D$31,1),"b")</f>
        <v>2b</v>
      </c>
      <c r="K35" s="237">
        <v>0</v>
      </c>
      <c r="L35" s="237">
        <f>IF($G$51&gt;$I$51,I35,10000)</f>
        <v>10000</v>
      </c>
      <c r="M35" s="237" t="s">
        <v>300</v>
      </c>
      <c r="O35" s="237" t="s">
        <v>301</v>
      </c>
      <c r="P35" s="261">
        <v>0.8</v>
      </c>
      <c r="Q35" s="261">
        <v>1</v>
      </c>
    </row>
    <row r="36" spans="2:17">
      <c r="B36" s="262" t="s">
        <v>203</v>
      </c>
      <c r="C36" s="968" t="s">
        <v>302</v>
      </c>
      <c r="D36" s="969"/>
      <c r="E36" s="969"/>
      <c r="F36" s="970"/>
      <c r="G36" s="259">
        <v>0.97</v>
      </c>
      <c r="H36" s="260">
        <f>VLOOKUP(J36,$O$34:$Q$74,2,FALSE)</f>
        <v>0.5</v>
      </c>
      <c r="I36" s="260">
        <f>VLOOKUP(J36,$O$34:$Q$74,3,FALSE)</f>
        <v>0.97</v>
      </c>
      <c r="J36" s="237" t="str">
        <f>CONCATENATE(LEFT($D$31,1),"c")</f>
        <v>2c</v>
      </c>
      <c r="K36" s="237">
        <v>0</v>
      </c>
      <c r="L36" s="237">
        <f>IF($G$51&gt;$I$51,I36,10000)</f>
        <v>10000</v>
      </c>
      <c r="M36" s="237" t="s">
        <v>303</v>
      </c>
      <c r="O36" s="237" t="s">
        <v>304</v>
      </c>
      <c r="P36" s="261">
        <v>0.97</v>
      </c>
      <c r="Q36" s="261">
        <v>1.27</v>
      </c>
    </row>
    <row r="37" spans="2:17">
      <c r="B37" s="262" t="s">
        <v>204</v>
      </c>
      <c r="C37" s="952" t="s">
        <v>305</v>
      </c>
      <c r="D37" s="953"/>
      <c r="E37" s="953"/>
      <c r="F37" s="970"/>
      <c r="G37" s="259">
        <v>1.21</v>
      </c>
      <c r="H37" s="260">
        <f>VLOOKUP(J37,$O$34:$Q$74,2,FALSE)</f>
        <v>1.02</v>
      </c>
      <c r="I37" s="260">
        <f>VLOOKUP(J37,$O$34:$Q$74,3,FALSE)</f>
        <v>1.21</v>
      </c>
      <c r="J37" s="237" t="str">
        <f>CONCATENATE(LEFT($D$31,1),"d")</f>
        <v>2d</v>
      </c>
      <c r="K37" s="237">
        <v>0</v>
      </c>
      <c r="L37" s="237">
        <f>IF($G$51&gt;$I$51,I37,10000)</f>
        <v>10000</v>
      </c>
      <c r="M37" s="237" t="s">
        <v>306</v>
      </c>
      <c r="O37" s="237" t="s">
        <v>307</v>
      </c>
      <c r="P37" s="261">
        <v>0.59</v>
      </c>
      <c r="Q37" s="261">
        <v>1.39</v>
      </c>
    </row>
    <row r="38" spans="2:17">
      <c r="B38" s="262" t="s">
        <v>205</v>
      </c>
      <c r="C38" s="968" t="s">
        <v>308</v>
      </c>
      <c r="D38" s="969"/>
      <c r="E38" s="969"/>
      <c r="F38" s="970"/>
      <c r="G38" s="259">
        <v>8.69</v>
      </c>
      <c r="H38" s="260">
        <f>VLOOKUP(J38,$O$34:$Q$74,2,FALSE)</f>
        <v>6.64</v>
      </c>
      <c r="I38" s="260">
        <f>VLOOKUP(J38,$O$34:$Q$74,3,FALSE)</f>
        <v>8.69</v>
      </c>
      <c r="J38" s="237" t="str">
        <f>CONCATENATE(LEFT($D$31,1),"e")</f>
        <v>2e</v>
      </c>
      <c r="K38" s="237">
        <v>0</v>
      </c>
      <c r="L38" s="237">
        <f>IF($G$51&gt;$I$51,I38,10000)</f>
        <v>10000</v>
      </c>
      <c r="M38" s="237" t="s">
        <v>309</v>
      </c>
      <c r="O38" s="237" t="s">
        <v>310</v>
      </c>
      <c r="P38" s="261">
        <v>6.16</v>
      </c>
      <c r="Q38" s="261">
        <v>8.9600000000000009</v>
      </c>
    </row>
    <row r="39" spans="2:17">
      <c r="B39" s="262" t="s">
        <v>206</v>
      </c>
      <c r="C39" s="971" t="s">
        <v>311</v>
      </c>
      <c r="D39" s="972"/>
      <c r="E39" s="972"/>
      <c r="F39" s="973"/>
      <c r="G39" s="263">
        <f>G40+G41+G42</f>
        <v>5.65</v>
      </c>
      <c r="H39" s="946" t="s">
        <v>312</v>
      </c>
      <c r="I39" s="947"/>
      <c r="O39" s="237" t="s">
        <v>313</v>
      </c>
      <c r="P39" s="261">
        <v>3.8</v>
      </c>
      <c r="Q39" s="261">
        <v>4.67</v>
      </c>
    </row>
    <row r="40" spans="2:17">
      <c r="B40" s="262"/>
      <c r="C40" s="264"/>
      <c r="D40" s="265" t="s">
        <v>238</v>
      </c>
      <c r="E40" s="266"/>
      <c r="F40" s="267"/>
      <c r="G40" s="268">
        <v>0.65</v>
      </c>
      <c r="H40" s="948"/>
      <c r="I40" s="949"/>
      <c r="K40" s="237">
        <v>0</v>
      </c>
      <c r="L40" s="237">
        <f>IF($G$51&gt;$I$51,3,10000)</f>
        <v>10000</v>
      </c>
      <c r="O40" s="237"/>
      <c r="P40" s="261"/>
      <c r="Q40" s="261"/>
    </row>
    <row r="41" spans="2:17">
      <c r="B41" s="262"/>
      <c r="C41" s="269"/>
      <c r="D41" s="270" t="s">
        <v>314</v>
      </c>
      <c r="E41" s="269"/>
      <c r="F41" s="271"/>
      <c r="G41" s="268">
        <v>3</v>
      </c>
      <c r="H41" s="948"/>
      <c r="I41" s="949"/>
      <c r="K41" s="237">
        <v>0</v>
      </c>
      <c r="L41" s="237">
        <f>IF($G$51&gt;$I$51,0.65,10000)</f>
        <v>10000</v>
      </c>
      <c r="O41" s="237"/>
      <c r="P41" s="261"/>
      <c r="Q41" s="261"/>
    </row>
    <row r="42" spans="2:17">
      <c r="B42" s="262"/>
      <c r="C42" s="264"/>
      <c r="D42" s="272" t="s">
        <v>315</v>
      </c>
      <c r="E42" s="264"/>
      <c r="F42" s="267"/>
      <c r="G42" s="263">
        <f>IF(E22="valor total da obra",$E$21,$E$21*$E$23/100)</f>
        <v>2</v>
      </c>
      <c r="H42" s="948"/>
      <c r="I42" s="949"/>
      <c r="O42" s="237"/>
      <c r="P42" s="261"/>
      <c r="Q42" s="261"/>
    </row>
    <row r="43" spans="2:17">
      <c r="B43" s="262"/>
      <c r="C43" s="264"/>
      <c r="D43" s="272" t="s">
        <v>316</v>
      </c>
      <c r="E43" s="264"/>
      <c r="F43" s="267"/>
      <c r="G43" s="263">
        <f>IF(E10="desonerados",4.5,0)</f>
        <v>0</v>
      </c>
      <c r="H43" s="948"/>
      <c r="I43" s="949"/>
      <c r="O43" s="237"/>
      <c r="P43" s="261"/>
      <c r="Q43" s="261"/>
    </row>
    <row r="44" spans="2:17">
      <c r="B44" s="262" t="s">
        <v>206</v>
      </c>
      <c r="C44" s="952" t="s">
        <v>317</v>
      </c>
      <c r="D44" s="953"/>
      <c r="E44" s="953"/>
      <c r="F44" s="954"/>
      <c r="G44" s="263">
        <f>IF(E10="desonerados",SUM(G40:G43),G39)</f>
        <v>5.65</v>
      </c>
      <c r="H44" s="950"/>
      <c r="I44" s="951"/>
      <c r="O44" s="237" t="s">
        <v>318</v>
      </c>
      <c r="P44" s="261">
        <v>0.32</v>
      </c>
      <c r="Q44" s="261">
        <v>0.74</v>
      </c>
    </row>
    <row r="45" spans="2:17" ht="4.5" customHeight="1" thickBot="1">
      <c r="O45" s="237" t="s">
        <v>319</v>
      </c>
      <c r="P45" s="261">
        <v>0.5</v>
      </c>
      <c r="Q45" s="261">
        <v>0.97</v>
      </c>
    </row>
    <row r="46" spans="2:17" ht="13.5" thickBot="1">
      <c r="B46" s="975" t="s">
        <v>320</v>
      </c>
      <c r="C46" s="976"/>
      <c r="D46" s="976"/>
      <c r="E46" s="976"/>
      <c r="F46" s="976"/>
      <c r="G46" s="977"/>
      <c r="H46" s="273"/>
      <c r="O46" s="237" t="s">
        <v>321</v>
      </c>
      <c r="P46" s="261">
        <v>1.02</v>
      </c>
      <c r="Q46" s="261">
        <v>1.21</v>
      </c>
    </row>
    <row r="47" spans="2:17" ht="22.5" customHeight="1">
      <c r="B47" s="978"/>
      <c r="C47" s="980" t="s">
        <v>322</v>
      </c>
      <c r="D47" s="982" t="s">
        <v>323</v>
      </c>
      <c r="E47" s="982"/>
      <c r="F47" s="982"/>
      <c r="G47" s="983">
        <v>-1</v>
      </c>
      <c r="O47" s="237" t="s">
        <v>324</v>
      </c>
      <c r="P47" s="261">
        <v>6.64</v>
      </c>
      <c r="Q47" s="261">
        <v>8.69</v>
      </c>
    </row>
    <row r="48" spans="2:17" ht="21" customHeight="1" thickBot="1">
      <c r="B48" s="979"/>
      <c r="C48" s="981"/>
      <c r="D48" s="985" t="s">
        <v>325</v>
      </c>
      <c r="E48" s="985"/>
      <c r="F48" s="985"/>
      <c r="G48" s="984"/>
      <c r="O48" s="237" t="s">
        <v>326</v>
      </c>
      <c r="P48" s="261">
        <v>3.43</v>
      </c>
      <c r="Q48" s="261">
        <v>6.71</v>
      </c>
    </row>
    <row r="49" spans="2:17" ht="3" customHeight="1" thickBot="1">
      <c r="O49" s="237" t="s">
        <v>327</v>
      </c>
      <c r="P49" s="261">
        <v>0.28000000000000003</v>
      </c>
      <c r="Q49" s="261">
        <v>0.75</v>
      </c>
    </row>
    <row r="50" spans="2:17" ht="15" customHeight="1" thickBot="1">
      <c r="B50" s="986" t="s">
        <v>328</v>
      </c>
      <c r="C50" s="987"/>
      <c r="D50" s="987"/>
      <c r="E50" s="987"/>
      <c r="F50" s="987"/>
      <c r="G50" s="987"/>
      <c r="H50" s="274" t="s">
        <v>292</v>
      </c>
      <c r="I50" s="275" t="s">
        <v>293</v>
      </c>
      <c r="O50" s="237" t="s">
        <v>329</v>
      </c>
      <c r="P50" s="261">
        <v>1</v>
      </c>
      <c r="Q50" s="261">
        <v>1.74</v>
      </c>
    </row>
    <row r="51" spans="2:17" ht="15">
      <c r="B51" s="988" t="str">
        <f>IF(G51&gt;I51,"BDI Sem Desoneração: ! FORA DOS LIMITES !",IF(G51&lt;H51,"BDI Sem Desoneração: ! FORA DOS LIMITES !","BDI Sem Desoneração:"))</f>
        <v>BDI Sem Desoneração:</v>
      </c>
      <c r="C51" s="988"/>
      <c r="D51" s="988"/>
      <c r="E51" s="988"/>
      <c r="F51" s="988"/>
      <c r="G51" s="276">
        <f>100*ROUND((((1+G34/100+G35/100+G36/100)*(1+G37/100)*(1+G38/100))/(1-G39/100))-1,4)</f>
        <v>24.03</v>
      </c>
      <c r="H51" s="260">
        <f>VLOOKUP(J51,$O$34:$Q$74,2,FALSE)</f>
        <v>19.600000000000001</v>
      </c>
      <c r="I51" s="260">
        <f>VLOOKUP(J51,$O$34:$Q$74,3,FALSE)</f>
        <v>24.23</v>
      </c>
      <c r="J51" s="237" t="str">
        <f>CONCATENATE(LEFT($D$31,1),"F")</f>
        <v>2F</v>
      </c>
      <c r="O51" s="237" t="s">
        <v>330</v>
      </c>
      <c r="P51" s="261">
        <v>0.94</v>
      </c>
      <c r="Q51" s="261">
        <v>1.17</v>
      </c>
    </row>
    <row r="52" spans="2:17" ht="15">
      <c r="B52" s="988" t="s">
        <v>331</v>
      </c>
      <c r="C52" s="988"/>
      <c r="D52" s="988"/>
      <c r="E52" s="988"/>
      <c r="F52" s="988"/>
      <c r="G52" s="277">
        <f>100*ROUND((((1+G34/100+G35/100+G36/100)*(1+G37/100)*(1+G38/100))/(1-G44/100))-1,4)</f>
        <v>24.03</v>
      </c>
      <c r="H52" s="262"/>
      <c r="I52" s="262"/>
      <c r="J52" s="237">
        <f>IF(G51&gt;I51,1,IF(G51&lt;H51,1,0))</f>
        <v>0</v>
      </c>
      <c r="O52" s="237" t="s">
        <v>332</v>
      </c>
      <c r="P52" s="261">
        <v>6.74</v>
      </c>
      <c r="Q52" s="261">
        <v>9.4</v>
      </c>
    </row>
    <row r="53" spans="2:17" ht="9" customHeight="1">
      <c r="B53" s="278"/>
      <c r="C53" s="278"/>
      <c r="D53" s="278"/>
      <c r="E53" s="278"/>
      <c r="F53" s="278"/>
      <c r="G53" s="279"/>
      <c r="H53" s="255"/>
      <c r="I53" s="255"/>
      <c r="J53" s="237"/>
      <c r="O53" s="237"/>
      <c r="P53" s="261"/>
      <c r="Q53" s="261"/>
    </row>
    <row r="54" spans="2:17" ht="71.25" customHeight="1">
      <c r="B54" s="989" t="s">
        <v>333</v>
      </c>
      <c r="C54" s="989"/>
      <c r="D54" s="989"/>
      <c r="E54" s="989"/>
      <c r="F54" s="989"/>
      <c r="G54" s="989"/>
      <c r="H54" s="989"/>
      <c r="I54" s="989"/>
      <c r="O54" s="237"/>
      <c r="P54" s="261"/>
      <c r="Q54" s="261"/>
    </row>
    <row r="55" spans="2:17" ht="46.5" customHeight="1">
      <c r="B55" s="990" t="s">
        <v>334</v>
      </c>
      <c r="C55" s="990"/>
      <c r="D55" s="990"/>
      <c r="E55" s="990"/>
      <c r="F55" s="990"/>
      <c r="G55" s="990"/>
      <c r="H55" s="990"/>
      <c r="I55" s="990"/>
      <c r="O55" s="237" t="s">
        <v>335</v>
      </c>
      <c r="P55" s="261">
        <v>0.25</v>
      </c>
      <c r="Q55" s="261">
        <v>0.56000000000000005</v>
      </c>
    </row>
    <row r="56" spans="2:17" ht="11.25" customHeight="1">
      <c r="B56" s="974" t="s">
        <v>336</v>
      </c>
      <c r="C56" s="974"/>
      <c r="D56" s="974"/>
      <c r="E56" s="974"/>
      <c r="F56" s="974"/>
      <c r="G56" s="974"/>
      <c r="H56" s="974"/>
      <c r="I56" s="974"/>
      <c r="O56" s="237" t="s">
        <v>337</v>
      </c>
      <c r="P56" s="261">
        <v>1</v>
      </c>
      <c r="Q56" s="261">
        <v>1.97</v>
      </c>
    </row>
    <row r="57" spans="2:17" ht="15.75" customHeight="1">
      <c r="B57" s="974"/>
      <c r="C57" s="974"/>
      <c r="D57" s="974"/>
      <c r="E57" s="974"/>
      <c r="F57" s="974"/>
      <c r="G57" s="974"/>
      <c r="H57" s="974"/>
      <c r="I57" s="974"/>
      <c r="O57" s="237" t="s">
        <v>338</v>
      </c>
      <c r="P57" s="261">
        <v>1.01</v>
      </c>
      <c r="Q57" s="261">
        <v>1.1100000000000001</v>
      </c>
    </row>
    <row r="58" spans="2:17" ht="68.25" customHeight="1">
      <c r="O58" s="237" t="s">
        <v>339</v>
      </c>
      <c r="P58" s="261">
        <v>8</v>
      </c>
      <c r="Q58" s="261">
        <v>9.51</v>
      </c>
    </row>
    <row r="59" spans="2:17" ht="68.25" customHeight="1">
      <c r="O59" s="237" t="s">
        <v>340</v>
      </c>
      <c r="P59" s="261">
        <v>4</v>
      </c>
      <c r="Q59" s="261">
        <v>7.85</v>
      </c>
    </row>
    <row r="60" spans="2:17">
      <c r="O60" s="237" t="s">
        <v>341</v>
      </c>
      <c r="P60" s="261">
        <v>0.81</v>
      </c>
      <c r="Q60" s="261">
        <v>1.99</v>
      </c>
    </row>
    <row r="61" spans="2:17">
      <c r="O61" s="237" t="s">
        <v>342</v>
      </c>
      <c r="P61" s="261">
        <v>1.46</v>
      </c>
      <c r="Q61" s="261">
        <v>3.16</v>
      </c>
    </row>
    <row r="62" spans="2:17">
      <c r="O62" s="237" t="s">
        <v>343</v>
      </c>
      <c r="P62" s="261">
        <v>0.94</v>
      </c>
      <c r="Q62" s="261">
        <v>1.33</v>
      </c>
    </row>
    <row r="63" spans="2:17">
      <c r="O63" s="237" t="s">
        <v>344</v>
      </c>
      <c r="P63" s="261">
        <v>7.14</v>
      </c>
      <c r="Q63" s="261">
        <v>10.43</v>
      </c>
    </row>
    <row r="64" spans="2:17">
      <c r="O64" s="237" t="s">
        <v>345</v>
      </c>
      <c r="P64" s="261">
        <v>1.5</v>
      </c>
      <c r="Q64" s="261">
        <v>4.49</v>
      </c>
    </row>
    <row r="65" spans="15:17">
      <c r="O65" s="237" t="s">
        <v>346</v>
      </c>
      <c r="P65" s="261">
        <v>0.3</v>
      </c>
      <c r="Q65" s="261">
        <v>0.82</v>
      </c>
    </row>
    <row r="66" spans="15:17">
      <c r="O66" s="237" t="s">
        <v>347</v>
      </c>
      <c r="P66" s="261">
        <v>0.56000000000000005</v>
      </c>
      <c r="Q66" s="261">
        <v>0.89</v>
      </c>
    </row>
    <row r="67" spans="15:17">
      <c r="O67" s="237" t="s">
        <v>348</v>
      </c>
      <c r="P67" s="261">
        <v>0.85</v>
      </c>
      <c r="Q67" s="261">
        <v>1.1100000000000001</v>
      </c>
    </row>
    <row r="68" spans="15:17">
      <c r="O68" s="237" t="s">
        <v>349</v>
      </c>
      <c r="P68" s="261">
        <v>3.5</v>
      </c>
      <c r="Q68" s="261">
        <v>6.22</v>
      </c>
    </row>
    <row r="69" spans="15:17">
      <c r="O69" s="237" t="s">
        <v>350</v>
      </c>
      <c r="P69" s="261">
        <v>20.34</v>
      </c>
      <c r="Q69" s="261">
        <v>25</v>
      </c>
    </row>
    <row r="70" spans="15:17">
      <c r="O70" s="237" t="s">
        <v>351</v>
      </c>
      <c r="P70" s="261">
        <v>19.600000000000001</v>
      </c>
      <c r="Q70" s="261">
        <v>24.23</v>
      </c>
    </row>
    <row r="71" spans="15:17">
      <c r="O71" s="237" t="s">
        <v>352</v>
      </c>
      <c r="P71" s="261">
        <v>20.76</v>
      </c>
      <c r="Q71" s="261">
        <v>26.44</v>
      </c>
    </row>
    <row r="72" spans="15:17">
      <c r="O72" s="237" t="s">
        <v>353</v>
      </c>
      <c r="P72" s="261">
        <v>24</v>
      </c>
      <c r="Q72" s="261">
        <v>27.86</v>
      </c>
    </row>
    <row r="73" spans="15:17">
      <c r="O73" s="237" t="s">
        <v>354</v>
      </c>
      <c r="P73" s="261">
        <v>22.8</v>
      </c>
      <c r="Q73" s="261">
        <v>30.95</v>
      </c>
    </row>
    <row r="74" spans="15:17">
      <c r="O74" s="237" t="s">
        <v>355</v>
      </c>
      <c r="P74" s="261">
        <v>11.1</v>
      </c>
      <c r="Q74" s="261">
        <v>16.8</v>
      </c>
    </row>
    <row r="75" spans="15:17">
      <c r="O75" s="237"/>
      <c r="P75" s="237"/>
      <c r="Q75" s="237"/>
    </row>
    <row r="76" spans="15:17">
      <c r="O76" s="237"/>
      <c r="P76" s="237"/>
      <c r="Q76" s="237"/>
    </row>
    <row r="77" spans="15:17">
      <c r="O77" s="237"/>
      <c r="P77" s="237"/>
      <c r="Q77" s="237"/>
    </row>
    <row r="78" spans="15:17">
      <c r="O78" s="237"/>
      <c r="P78" s="237"/>
      <c r="Q78" s="237"/>
    </row>
    <row r="79" spans="15:17">
      <c r="O79" s="237"/>
      <c r="P79" s="237"/>
      <c r="Q79" s="237"/>
    </row>
    <row r="80" spans="15:17">
      <c r="O80" s="237"/>
      <c r="P80" s="237"/>
      <c r="Q80" s="237"/>
    </row>
    <row r="81" spans="15:17">
      <c r="O81" s="237"/>
      <c r="P81" s="237"/>
      <c r="Q81" s="237"/>
    </row>
    <row r="82" spans="15:17">
      <c r="O82" s="237"/>
      <c r="P82" s="237"/>
      <c r="Q82" s="237"/>
    </row>
    <row r="83" spans="15:17">
      <c r="O83" s="237"/>
      <c r="P83" s="237"/>
      <c r="Q83" s="237"/>
    </row>
    <row r="84" spans="15:17">
      <c r="O84" s="237"/>
      <c r="P84" s="237"/>
      <c r="Q84" s="237"/>
    </row>
    <row r="85" spans="15:17">
      <c r="O85" s="237"/>
      <c r="P85" s="237"/>
      <c r="Q85" s="237"/>
    </row>
    <row r="86" spans="15:17">
      <c r="O86" s="237"/>
      <c r="P86" s="237"/>
      <c r="Q86" s="237"/>
    </row>
    <row r="87" spans="15:17">
      <c r="O87" s="237"/>
      <c r="P87" s="237"/>
      <c r="Q87" s="237"/>
    </row>
    <row r="88" spans="15:17">
      <c r="O88" s="237"/>
      <c r="P88" s="237"/>
      <c r="Q88" s="237"/>
    </row>
    <row r="89" spans="15:17">
      <c r="O89" s="237"/>
      <c r="P89" s="237"/>
      <c r="Q89" s="237"/>
    </row>
  </sheetData>
  <sheetProtection password="EBAE" sheet="1"/>
  <mergeCells count="37">
    <mergeCell ref="B56:I57"/>
    <mergeCell ref="B46:G46"/>
    <mergeCell ref="B47:B48"/>
    <mergeCell ref="C47:C48"/>
    <mergeCell ref="D47:F47"/>
    <mergeCell ref="G47:G48"/>
    <mergeCell ref="D48:F48"/>
    <mergeCell ref="B50:G50"/>
    <mergeCell ref="B51:F51"/>
    <mergeCell ref="B52:F52"/>
    <mergeCell ref="B54:I54"/>
    <mergeCell ref="B55:I55"/>
    <mergeCell ref="H39:I44"/>
    <mergeCell ref="C44:F44"/>
    <mergeCell ref="B23:D26"/>
    <mergeCell ref="B29:I29"/>
    <mergeCell ref="B31:C31"/>
    <mergeCell ref="D31:I31"/>
    <mergeCell ref="B33:F33"/>
    <mergeCell ref="C34:F34"/>
    <mergeCell ref="C35:F35"/>
    <mergeCell ref="C36:F36"/>
    <mergeCell ref="C37:F37"/>
    <mergeCell ref="C38:F38"/>
    <mergeCell ref="C39:F39"/>
    <mergeCell ref="B14:D14"/>
    <mergeCell ref="E14:F14"/>
    <mergeCell ref="E16:F16"/>
    <mergeCell ref="E17:F17"/>
    <mergeCell ref="E19:F19"/>
    <mergeCell ref="E22:F22"/>
    <mergeCell ref="E7:F7"/>
    <mergeCell ref="E8:F8"/>
    <mergeCell ref="E9:F9"/>
    <mergeCell ref="E10:F10"/>
    <mergeCell ref="E11:F11"/>
    <mergeCell ref="E13:F13"/>
  </mergeCells>
  <conditionalFormatting sqref="G34:G38 E21">
    <cfRule type="cellIs" dxfId="5" priority="6" stopIfTrue="1" operator="notBetween">
      <formula>$H21</formula>
      <formula>$I21</formula>
    </cfRule>
  </conditionalFormatting>
  <conditionalFormatting sqref="G51">
    <cfRule type="cellIs" dxfId="4" priority="5" stopIfTrue="1" operator="notBetween">
      <formula>$H$51</formula>
      <formula>$I$51</formula>
    </cfRule>
  </conditionalFormatting>
  <conditionalFormatting sqref="B51:F51">
    <cfRule type="expression" dxfId="3" priority="4" stopIfTrue="1">
      <formula>$J$52=1</formula>
    </cfRule>
  </conditionalFormatting>
  <conditionalFormatting sqref="E23 H23 B23">
    <cfRule type="expression" dxfId="2" priority="3" stopIfTrue="1">
      <formula>$E$22="valor total da obra"</formula>
    </cfRule>
  </conditionalFormatting>
  <conditionalFormatting sqref="B54:I54">
    <cfRule type="expression" dxfId="1" priority="2" stopIfTrue="1">
      <formula>$G$51&gt;$I$51</formula>
    </cfRule>
  </conditionalFormatting>
  <conditionalFormatting sqref="F5">
    <cfRule type="expression" dxfId="0" priority="1" stopIfTrue="1">
      <formula>$E$6=0</formula>
    </cfRule>
  </conditionalFormatting>
  <dataValidations count="8">
    <dataValidation type="decimal" allowBlank="1" showInputMessage="1" showErrorMessage="1" sqref="E21 JA21 SW21 ACS21 AMO21 AWK21 BGG21 BQC21 BZY21 CJU21 CTQ21 DDM21 DNI21 DXE21 EHA21 EQW21 FAS21 FKO21 FUK21 GEG21 GOC21 GXY21 HHU21 HRQ21 IBM21 ILI21 IVE21 JFA21 JOW21 JYS21 KIO21 KSK21 LCG21 LMC21 LVY21 MFU21 MPQ21 MZM21 NJI21 NTE21 ODA21 OMW21 OWS21 PGO21 PQK21 QAG21 QKC21 QTY21 RDU21 RNQ21 RXM21 SHI21 SRE21 TBA21 TKW21 TUS21 UEO21 UOK21 UYG21 VIC21 VRY21 WBU21 WLQ21 WVM21 E65557 JA65557 SW65557 ACS65557 AMO65557 AWK65557 BGG65557 BQC65557 BZY65557 CJU65557 CTQ65557 DDM65557 DNI65557 DXE65557 EHA65557 EQW65557 FAS65557 FKO65557 FUK65557 GEG65557 GOC65557 GXY65557 HHU65557 HRQ65557 IBM65557 ILI65557 IVE65557 JFA65557 JOW65557 JYS65557 KIO65557 KSK65557 LCG65557 LMC65557 LVY65557 MFU65557 MPQ65557 MZM65557 NJI65557 NTE65557 ODA65557 OMW65557 OWS65557 PGO65557 PQK65557 QAG65557 QKC65557 QTY65557 RDU65557 RNQ65557 RXM65557 SHI65557 SRE65557 TBA65557 TKW65557 TUS65557 UEO65557 UOK65557 UYG65557 VIC65557 VRY65557 WBU65557 WLQ65557 WVM65557 E131093 JA131093 SW131093 ACS131093 AMO131093 AWK131093 BGG131093 BQC131093 BZY131093 CJU131093 CTQ131093 DDM131093 DNI131093 DXE131093 EHA131093 EQW131093 FAS131093 FKO131093 FUK131093 GEG131093 GOC131093 GXY131093 HHU131093 HRQ131093 IBM131093 ILI131093 IVE131093 JFA131093 JOW131093 JYS131093 KIO131093 KSK131093 LCG131093 LMC131093 LVY131093 MFU131093 MPQ131093 MZM131093 NJI131093 NTE131093 ODA131093 OMW131093 OWS131093 PGO131093 PQK131093 QAG131093 QKC131093 QTY131093 RDU131093 RNQ131093 RXM131093 SHI131093 SRE131093 TBA131093 TKW131093 TUS131093 UEO131093 UOK131093 UYG131093 VIC131093 VRY131093 WBU131093 WLQ131093 WVM131093 E196629 JA196629 SW196629 ACS196629 AMO196629 AWK196629 BGG196629 BQC196629 BZY196629 CJU196629 CTQ196629 DDM196629 DNI196629 DXE196629 EHA196629 EQW196629 FAS196629 FKO196629 FUK196629 GEG196629 GOC196629 GXY196629 HHU196629 HRQ196629 IBM196629 ILI196629 IVE196629 JFA196629 JOW196629 JYS196629 KIO196629 KSK196629 LCG196629 LMC196629 LVY196629 MFU196629 MPQ196629 MZM196629 NJI196629 NTE196629 ODA196629 OMW196629 OWS196629 PGO196629 PQK196629 QAG196629 QKC196629 QTY196629 RDU196629 RNQ196629 RXM196629 SHI196629 SRE196629 TBA196629 TKW196629 TUS196629 UEO196629 UOK196629 UYG196629 VIC196629 VRY196629 WBU196629 WLQ196629 WVM196629 E262165 JA262165 SW262165 ACS262165 AMO262165 AWK262165 BGG262165 BQC262165 BZY262165 CJU262165 CTQ262165 DDM262165 DNI262165 DXE262165 EHA262165 EQW262165 FAS262165 FKO262165 FUK262165 GEG262165 GOC262165 GXY262165 HHU262165 HRQ262165 IBM262165 ILI262165 IVE262165 JFA262165 JOW262165 JYS262165 KIO262165 KSK262165 LCG262165 LMC262165 LVY262165 MFU262165 MPQ262165 MZM262165 NJI262165 NTE262165 ODA262165 OMW262165 OWS262165 PGO262165 PQK262165 QAG262165 QKC262165 QTY262165 RDU262165 RNQ262165 RXM262165 SHI262165 SRE262165 TBA262165 TKW262165 TUS262165 UEO262165 UOK262165 UYG262165 VIC262165 VRY262165 WBU262165 WLQ262165 WVM262165 E327701 JA327701 SW327701 ACS327701 AMO327701 AWK327701 BGG327701 BQC327701 BZY327701 CJU327701 CTQ327701 DDM327701 DNI327701 DXE327701 EHA327701 EQW327701 FAS327701 FKO327701 FUK327701 GEG327701 GOC327701 GXY327701 HHU327701 HRQ327701 IBM327701 ILI327701 IVE327701 JFA327701 JOW327701 JYS327701 KIO327701 KSK327701 LCG327701 LMC327701 LVY327701 MFU327701 MPQ327701 MZM327701 NJI327701 NTE327701 ODA327701 OMW327701 OWS327701 PGO327701 PQK327701 QAG327701 QKC327701 QTY327701 RDU327701 RNQ327701 RXM327701 SHI327701 SRE327701 TBA327701 TKW327701 TUS327701 UEO327701 UOK327701 UYG327701 VIC327701 VRY327701 WBU327701 WLQ327701 WVM327701 E393237 JA393237 SW393237 ACS393237 AMO393237 AWK393237 BGG393237 BQC393237 BZY393237 CJU393237 CTQ393237 DDM393237 DNI393237 DXE393237 EHA393237 EQW393237 FAS393237 FKO393237 FUK393237 GEG393237 GOC393237 GXY393237 HHU393237 HRQ393237 IBM393237 ILI393237 IVE393237 JFA393237 JOW393237 JYS393237 KIO393237 KSK393237 LCG393237 LMC393237 LVY393237 MFU393237 MPQ393237 MZM393237 NJI393237 NTE393237 ODA393237 OMW393237 OWS393237 PGO393237 PQK393237 QAG393237 QKC393237 QTY393237 RDU393237 RNQ393237 RXM393237 SHI393237 SRE393237 TBA393237 TKW393237 TUS393237 UEO393237 UOK393237 UYG393237 VIC393237 VRY393237 WBU393237 WLQ393237 WVM393237 E458773 JA458773 SW458773 ACS458773 AMO458773 AWK458773 BGG458773 BQC458773 BZY458773 CJU458773 CTQ458773 DDM458773 DNI458773 DXE458773 EHA458773 EQW458773 FAS458773 FKO458773 FUK458773 GEG458773 GOC458773 GXY458773 HHU458773 HRQ458773 IBM458773 ILI458773 IVE458773 JFA458773 JOW458773 JYS458773 KIO458773 KSK458773 LCG458773 LMC458773 LVY458773 MFU458773 MPQ458773 MZM458773 NJI458773 NTE458773 ODA458773 OMW458773 OWS458773 PGO458773 PQK458773 QAG458773 QKC458773 QTY458773 RDU458773 RNQ458773 RXM458773 SHI458773 SRE458773 TBA458773 TKW458773 TUS458773 UEO458773 UOK458773 UYG458773 VIC458773 VRY458773 WBU458773 WLQ458773 WVM458773 E524309 JA524309 SW524309 ACS524309 AMO524309 AWK524309 BGG524309 BQC524309 BZY524309 CJU524309 CTQ524309 DDM524309 DNI524309 DXE524309 EHA524309 EQW524309 FAS524309 FKO524309 FUK524309 GEG524309 GOC524309 GXY524309 HHU524309 HRQ524309 IBM524309 ILI524309 IVE524309 JFA524309 JOW524309 JYS524309 KIO524309 KSK524309 LCG524309 LMC524309 LVY524309 MFU524309 MPQ524309 MZM524309 NJI524309 NTE524309 ODA524309 OMW524309 OWS524309 PGO524309 PQK524309 QAG524309 QKC524309 QTY524309 RDU524309 RNQ524309 RXM524309 SHI524309 SRE524309 TBA524309 TKW524309 TUS524309 UEO524309 UOK524309 UYG524309 VIC524309 VRY524309 WBU524309 WLQ524309 WVM524309 E589845 JA589845 SW589845 ACS589845 AMO589845 AWK589845 BGG589845 BQC589845 BZY589845 CJU589845 CTQ589845 DDM589845 DNI589845 DXE589845 EHA589845 EQW589845 FAS589845 FKO589845 FUK589845 GEG589845 GOC589845 GXY589845 HHU589845 HRQ589845 IBM589845 ILI589845 IVE589845 JFA589845 JOW589845 JYS589845 KIO589845 KSK589845 LCG589845 LMC589845 LVY589845 MFU589845 MPQ589845 MZM589845 NJI589845 NTE589845 ODA589845 OMW589845 OWS589845 PGO589845 PQK589845 QAG589845 QKC589845 QTY589845 RDU589845 RNQ589845 RXM589845 SHI589845 SRE589845 TBA589845 TKW589845 TUS589845 UEO589845 UOK589845 UYG589845 VIC589845 VRY589845 WBU589845 WLQ589845 WVM589845 E655381 JA655381 SW655381 ACS655381 AMO655381 AWK655381 BGG655381 BQC655381 BZY655381 CJU655381 CTQ655381 DDM655381 DNI655381 DXE655381 EHA655381 EQW655381 FAS655381 FKO655381 FUK655381 GEG655381 GOC655381 GXY655381 HHU655381 HRQ655381 IBM655381 ILI655381 IVE655381 JFA655381 JOW655381 JYS655381 KIO655381 KSK655381 LCG655381 LMC655381 LVY655381 MFU655381 MPQ655381 MZM655381 NJI655381 NTE655381 ODA655381 OMW655381 OWS655381 PGO655381 PQK655381 QAG655381 QKC655381 QTY655381 RDU655381 RNQ655381 RXM655381 SHI655381 SRE655381 TBA655381 TKW655381 TUS655381 UEO655381 UOK655381 UYG655381 VIC655381 VRY655381 WBU655381 WLQ655381 WVM655381 E720917 JA720917 SW720917 ACS720917 AMO720917 AWK720917 BGG720917 BQC720917 BZY720917 CJU720917 CTQ720917 DDM720917 DNI720917 DXE720917 EHA720917 EQW720917 FAS720917 FKO720917 FUK720917 GEG720917 GOC720917 GXY720917 HHU720917 HRQ720917 IBM720917 ILI720917 IVE720917 JFA720917 JOW720917 JYS720917 KIO720917 KSK720917 LCG720917 LMC720917 LVY720917 MFU720917 MPQ720917 MZM720917 NJI720917 NTE720917 ODA720917 OMW720917 OWS720917 PGO720917 PQK720917 QAG720917 QKC720917 QTY720917 RDU720917 RNQ720917 RXM720917 SHI720917 SRE720917 TBA720917 TKW720917 TUS720917 UEO720917 UOK720917 UYG720917 VIC720917 VRY720917 WBU720917 WLQ720917 WVM720917 E786453 JA786453 SW786453 ACS786453 AMO786453 AWK786453 BGG786453 BQC786453 BZY786453 CJU786453 CTQ786453 DDM786453 DNI786453 DXE786453 EHA786453 EQW786453 FAS786453 FKO786453 FUK786453 GEG786453 GOC786453 GXY786453 HHU786453 HRQ786453 IBM786453 ILI786453 IVE786453 JFA786453 JOW786453 JYS786453 KIO786453 KSK786453 LCG786453 LMC786453 LVY786453 MFU786453 MPQ786453 MZM786453 NJI786453 NTE786453 ODA786453 OMW786453 OWS786453 PGO786453 PQK786453 QAG786453 QKC786453 QTY786453 RDU786453 RNQ786453 RXM786453 SHI786453 SRE786453 TBA786453 TKW786453 TUS786453 UEO786453 UOK786453 UYG786453 VIC786453 VRY786453 WBU786453 WLQ786453 WVM786453 E851989 JA851989 SW851989 ACS851989 AMO851989 AWK851989 BGG851989 BQC851989 BZY851989 CJU851989 CTQ851989 DDM851989 DNI851989 DXE851989 EHA851989 EQW851989 FAS851989 FKO851989 FUK851989 GEG851989 GOC851989 GXY851989 HHU851989 HRQ851989 IBM851989 ILI851989 IVE851989 JFA851989 JOW851989 JYS851989 KIO851989 KSK851989 LCG851989 LMC851989 LVY851989 MFU851989 MPQ851989 MZM851989 NJI851989 NTE851989 ODA851989 OMW851989 OWS851989 PGO851989 PQK851989 QAG851989 QKC851989 QTY851989 RDU851989 RNQ851989 RXM851989 SHI851989 SRE851989 TBA851989 TKW851989 TUS851989 UEO851989 UOK851989 UYG851989 VIC851989 VRY851989 WBU851989 WLQ851989 WVM851989 E917525 JA917525 SW917525 ACS917525 AMO917525 AWK917525 BGG917525 BQC917525 BZY917525 CJU917525 CTQ917525 DDM917525 DNI917525 DXE917525 EHA917525 EQW917525 FAS917525 FKO917525 FUK917525 GEG917525 GOC917525 GXY917525 HHU917525 HRQ917525 IBM917525 ILI917525 IVE917525 JFA917525 JOW917525 JYS917525 KIO917525 KSK917525 LCG917525 LMC917525 LVY917525 MFU917525 MPQ917525 MZM917525 NJI917525 NTE917525 ODA917525 OMW917525 OWS917525 PGO917525 PQK917525 QAG917525 QKC917525 QTY917525 RDU917525 RNQ917525 RXM917525 SHI917525 SRE917525 TBA917525 TKW917525 TUS917525 UEO917525 UOK917525 UYG917525 VIC917525 VRY917525 WBU917525 WLQ917525 WVM917525 E983061 JA983061 SW983061 ACS983061 AMO983061 AWK983061 BGG983061 BQC983061 BZY983061 CJU983061 CTQ983061 DDM983061 DNI983061 DXE983061 EHA983061 EQW983061 FAS983061 FKO983061 FUK983061 GEG983061 GOC983061 GXY983061 HHU983061 HRQ983061 IBM983061 ILI983061 IVE983061 JFA983061 JOW983061 JYS983061 KIO983061 KSK983061 LCG983061 LMC983061 LVY983061 MFU983061 MPQ983061 MZM983061 NJI983061 NTE983061 ODA983061 OMW983061 OWS983061 PGO983061 PQK983061 QAG983061 QKC983061 QTY983061 RDU983061 RNQ983061 RXM983061 SHI983061 SRE983061 TBA983061 TKW983061 TUS983061 UEO983061 UOK983061 UYG983061 VIC983061 VRY983061 WBU983061 WLQ983061 WVM983061">
      <formula1>G21</formula1>
      <formula2>H21</formula2>
    </dataValidation>
    <dataValidation type="decimal" allowBlank="1" showInputMessage="1" showErrorMessage="1" error="O valor inserido está fora dos limites estabelecidos pelo acórdão 2622/2013 do TCU ou é inválido." sqref="G40:G41 JC40:JC41 SY40:SY41 ACU40:ACU41 AMQ40:AMQ41 AWM40:AWM41 BGI40:BGI41 BQE40:BQE41 CAA40:CAA41 CJW40:CJW41 CTS40:CTS41 DDO40:DDO41 DNK40:DNK41 DXG40:DXG41 EHC40:EHC41 EQY40:EQY41 FAU40:FAU41 FKQ40:FKQ41 FUM40:FUM41 GEI40:GEI41 GOE40:GOE41 GYA40:GYA41 HHW40:HHW41 HRS40:HRS41 IBO40:IBO41 ILK40:ILK41 IVG40:IVG41 JFC40:JFC41 JOY40:JOY41 JYU40:JYU41 KIQ40:KIQ41 KSM40:KSM41 LCI40:LCI41 LME40:LME41 LWA40:LWA41 MFW40:MFW41 MPS40:MPS41 MZO40:MZO41 NJK40:NJK41 NTG40:NTG41 ODC40:ODC41 OMY40:OMY41 OWU40:OWU41 PGQ40:PGQ41 PQM40:PQM41 QAI40:QAI41 QKE40:QKE41 QUA40:QUA41 RDW40:RDW41 RNS40:RNS41 RXO40:RXO41 SHK40:SHK41 SRG40:SRG41 TBC40:TBC41 TKY40:TKY41 TUU40:TUU41 UEQ40:UEQ41 UOM40:UOM41 UYI40:UYI41 VIE40:VIE41 VSA40:VSA41 WBW40:WBW41 WLS40:WLS41 WVO40:WVO41 G65576:G65577 JC65576:JC65577 SY65576:SY65577 ACU65576:ACU65577 AMQ65576:AMQ65577 AWM65576:AWM65577 BGI65576:BGI65577 BQE65576:BQE65577 CAA65576:CAA65577 CJW65576:CJW65577 CTS65576:CTS65577 DDO65576:DDO65577 DNK65576:DNK65577 DXG65576:DXG65577 EHC65576:EHC65577 EQY65576:EQY65577 FAU65576:FAU65577 FKQ65576:FKQ65577 FUM65576:FUM65577 GEI65576:GEI65577 GOE65576:GOE65577 GYA65576:GYA65577 HHW65576:HHW65577 HRS65576:HRS65577 IBO65576:IBO65577 ILK65576:ILK65577 IVG65576:IVG65577 JFC65576:JFC65577 JOY65576:JOY65577 JYU65576:JYU65577 KIQ65576:KIQ65577 KSM65576:KSM65577 LCI65576:LCI65577 LME65576:LME65577 LWA65576:LWA65577 MFW65576:MFW65577 MPS65576:MPS65577 MZO65576:MZO65577 NJK65576:NJK65577 NTG65576:NTG65577 ODC65576:ODC65577 OMY65576:OMY65577 OWU65576:OWU65577 PGQ65576:PGQ65577 PQM65576:PQM65577 QAI65576:QAI65577 QKE65576:QKE65577 QUA65576:QUA65577 RDW65576:RDW65577 RNS65576:RNS65577 RXO65576:RXO65577 SHK65576:SHK65577 SRG65576:SRG65577 TBC65576:TBC65577 TKY65576:TKY65577 TUU65576:TUU65577 UEQ65576:UEQ65577 UOM65576:UOM65577 UYI65576:UYI65577 VIE65576:VIE65577 VSA65576:VSA65577 WBW65576:WBW65577 WLS65576:WLS65577 WVO65576:WVO65577 G131112:G131113 JC131112:JC131113 SY131112:SY131113 ACU131112:ACU131113 AMQ131112:AMQ131113 AWM131112:AWM131113 BGI131112:BGI131113 BQE131112:BQE131113 CAA131112:CAA131113 CJW131112:CJW131113 CTS131112:CTS131113 DDO131112:DDO131113 DNK131112:DNK131113 DXG131112:DXG131113 EHC131112:EHC131113 EQY131112:EQY131113 FAU131112:FAU131113 FKQ131112:FKQ131113 FUM131112:FUM131113 GEI131112:GEI131113 GOE131112:GOE131113 GYA131112:GYA131113 HHW131112:HHW131113 HRS131112:HRS131113 IBO131112:IBO131113 ILK131112:ILK131113 IVG131112:IVG131113 JFC131112:JFC131113 JOY131112:JOY131113 JYU131112:JYU131113 KIQ131112:KIQ131113 KSM131112:KSM131113 LCI131112:LCI131113 LME131112:LME131113 LWA131112:LWA131113 MFW131112:MFW131113 MPS131112:MPS131113 MZO131112:MZO131113 NJK131112:NJK131113 NTG131112:NTG131113 ODC131112:ODC131113 OMY131112:OMY131113 OWU131112:OWU131113 PGQ131112:PGQ131113 PQM131112:PQM131113 QAI131112:QAI131113 QKE131112:QKE131113 QUA131112:QUA131113 RDW131112:RDW131113 RNS131112:RNS131113 RXO131112:RXO131113 SHK131112:SHK131113 SRG131112:SRG131113 TBC131112:TBC131113 TKY131112:TKY131113 TUU131112:TUU131113 UEQ131112:UEQ131113 UOM131112:UOM131113 UYI131112:UYI131113 VIE131112:VIE131113 VSA131112:VSA131113 WBW131112:WBW131113 WLS131112:WLS131113 WVO131112:WVO131113 G196648:G196649 JC196648:JC196649 SY196648:SY196649 ACU196648:ACU196649 AMQ196648:AMQ196649 AWM196648:AWM196649 BGI196648:BGI196649 BQE196648:BQE196649 CAA196648:CAA196649 CJW196648:CJW196649 CTS196648:CTS196649 DDO196648:DDO196649 DNK196648:DNK196649 DXG196648:DXG196649 EHC196648:EHC196649 EQY196648:EQY196649 FAU196648:FAU196649 FKQ196648:FKQ196649 FUM196648:FUM196649 GEI196648:GEI196649 GOE196648:GOE196649 GYA196648:GYA196649 HHW196648:HHW196649 HRS196648:HRS196649 IBO196648:IBO196649 ILK196648:ILK196649 IVG196648:IVG196649 JFC196648:JFC196649 JOY196648:JOY196649 JYU196648:JYU196649 KIQ196648:KIQ196649 KSM196648:KSM196649 LCI196648:LCI196649 LME196648:LME196649 LWA196648:LWA196649 MFW196648:MFW196649 MPS196648:MPS196649 MZO196648:MZO196649 NJK196648:NJK196649 NTG196648:NTG196649 ODC196648:ODC196649 OMY196648:OMY196649 OWU196648:OWU196649 PGQ196648:PGQ196649 PQM196648:PQM196649 QAI196648:QAI196649 QKE196648:QKE196649 QUA196648:QUA196649 RDW196648:RDW196649 RNS196648:RNS196649 RXO196648:RXO196649 SHK196648:SHK196649 SRG196648:SRG196649 TBC196648:TBC196649 TKY196648:TKY196649 TUU196648:TUU196649 UEQ196648:UEQ196649 UOM196648:UOM196649 UYI196648:UYI196649 VIE196648:VIE196649 VSA196648:VSA196649 WBW196648:WBW196649 WLS196648:WLS196649 WVO196648:WVO196649 G262184:G262185 JC262184:JC262185 SY262184:SY262185 ACU262184:ACU262185 AMQ262184:AMQ262185 AWM262184:AWM262185 BGI262184:BGI262185 BQE262184:BQE262185 CAA262184:CAA262185 CJW262184:CJW262185 CTS262184:CTS262185 DDO262184:DDO262185 DNK262184:DNK262185 DXG262184:DXG262185 EHC262184:EHC262185 EQY262184:EQY262185 FAU262184:FAU262185 FKQ262184:FKQ262185 FUM262184:FUM262185 GEI262184:GEI262185 GOE262184:GOE262185 GYA262184:GYA262185 HHW262184:HHW262185 HRS262184:HRS262185 IBO262184:IBO262185 ILK262184:ILK262185 IVG262184:IVG262185 JFC262184:JFC262185 JOY262184:JOY262185 JYU262184:JYU262185 KIQ262184:KIQ262185 KSM262184:KSM262185 LCI262184:LCI262185 LME262184:LME262185 LWA262184:LWA262185 MFW262184:MFW262185 MPS262184:MPS262185 MZO262184:MZO262185 NJK262184:NJK262185 NTG262184:NTG262185 ODC262184:ODC262185 OMY262184:OMY262185 OWU262184:OWU262185 PGQ262184:PGQ262185 PQM262184:PQM262185 QAI262184:QAI262185 QKE262184:QKE262185 QUA262184:QUA262185 RDW262184:RDW262185 RNS262184:RNS262185 RXO262184:RXO262185 SHK262184:SHK262185 SRG262184:SRG262185 TBC262184:TBC262185 TKY262184:TKY262185 TUU262184:TUU262185 UEQ262184:UEQ262185 UOM262184:UOM262185 UYI262184:UYI262185 VIE262184:VIE262185 VSA262184:VSA262185 WBW262184:WBW262185 WLS262184:WLS262185 WVO262184:WVO262185 G327720:G327721 JC327720:JC327721 SY327720:SY327721 ACU327720:ACU327721 AMQ327720:AMQ327721 AWM327720:AWM327721 BGI327720:BGI327721 BQE327720:BQE327721 CAA327720:CAA327721 CJW327720:CJW327721 CTS327720:CTS327721 DDO327720:DDO327721 DNK327720:DNK327721 DXG327720:DXG327721 EHC327720:EHC327721 EQY327720:EQY327721 FAU327720:FAU327721 FKQ327720:FKQ327721 FUM327720:FUM327721 GEI327720:GEI327721 GOE327720:GOE327721 GYA327720:GYA327721 HHW327720:HHW327721 HRS327720:HRS327721 IBO327720:IBO327721 ILK327720:ILK327721 IVG327720:IVG327721 JFC327720:JFC327721 JOY327720:JOY327721 JYU327720:JYU327721 KIQ327720:KIQ327721 KSM327720:KSM327721 LCI327720:LCI327721 LME327720:LME327721 LWA327720:LWA327721 MFW327720:MFW327721 MPS327720:MPS327721 MZO327720:MZO327721 NJK327720:NJK327721 NTG327720:NTG327721 ODC327720:ODC327721 OMY327720:OMY327721 OWU327720:OWU327721 PGQ327720:PGQ327721 PQM327720:PQM327721 QAI327720:QAI327721 QKE327720:QKE327721 QUA327720:QUA327721 RDW327720:RDW327721 RNS327720:RNS327721 RXO327720:RXO327721 SHK327720:SHK327721 SRG327720:SRG327721 TBC327720:TBC327721 TKY327720:TKY327721 TUU327720:TUU327721 UEQ327720:UEQ327721 UOM327720:UOM327721 UYI327720:UYI327721 VIE327720:VIE327721 VSA327720:VSA327721 WBW327720:WBW327721 WLS327720:WLS327721 WVO327720:WVO327721 G393256:G393257 JC393256:JC393257 SY393256:SY393257 ACU393256:ACU393257 AMQ393256:AMQ393257 AWM393256:AWM393257 BGI393256:BGI393257 BQE393256:BQE393257 CAA393256:CAA393257 CJW393256:CJW393257 CTS393256:CTS393257 DDO393256:DDO393257 DNK393256:DNK393257 DXG393256:DXG393257 EHC393256:EHC393257 EQY393256:EQY393257 FAU393256:FAU393257 FKQ393256:FKQ393257 FUM393256:FUM393257 GEI393256:GEI393257 GOE393256:GOE393257 GYA393256:GYA393257 HHW393256:HHW393257 HRS393256:HRS393257 IBO393256:IBO393257 ILK393256:ILK393257 IVG393256:IVG393257 JFC393256:JFC393257 JOY393256:JOY393257 JYU393256:JYU393257 KIQ393256:KIQ393257 KSM393256:KSM393257 LCI393256:LCI393257 LME393256:LME393257 LWA393256:LWA393257 MFW393256:MFW393257 MPS393256:MPS393257 MZO393256:MZO393257 NJK393256:NJK393257 NTG393256:NTG393257 ODC393256:ODC393257 OMY393256:OMY393257 OWU393256:OWU393257 PGQ393256:PGQ393257 PQM393256:PQM393257 QAI393256:QAI393257 QKE393256:QKE393257 QUA393256:QUA393257 RDW393256:RDW393257 RNS393256:RNS393257 RXO393256:RXO393257 SHK393256:SHK393257 SRG393256:SRG393257 TBC393256:TBC393257 TKY393256:TKY393257 TUU393256:TUU393257 UEQ393256:UEQ393257 UOM393256:UOM393257 UYI393256:UYI393257 VIE393256:VIE393257 VSA393256:VSA393257 WBW393256:WBW393257 WLS393256:WLS393257 WVO393256:WVO393257 G458792:G458793 JC458792:JC458793 SY458792:SY458793 ACU458792:ACU458793 AMQ458792:AMQ458793 AWM458792:AWM458793 BGI458792:BGI458793 BQE458792:BQE458793 CAA458792:CAA458793 CJW458792:CJW458793 CTS458792:CTS458793 DDO458792:DDO458793 DNK458792:DNK458793 DXG458792:DXG458793 EHC458792:EHC458793 EQY458792:EQY458793 FAU458792:FAU458793 FKQ458792:FKQ458793 FUM458792:FUM458793 GEI458792:GEI458793 GOE458792:GOE458793 GYA458792:GYA458793 HHW458792:HHW458793 HRS458792:HRS458793 IBO458792:IBO458793 ILK458792:ILK458793 IVG458792:IVG458793 JFC458792:JFC458793 JOY458792:JOY458793 JYU458792:JYU458793 KIQ458792:KIQ458793 KSM458792:KSM458793 LCI458792:LCI458793 LME458792:LME458793 LWA458792:LWA458793 MFW458792:MFW458793 MPS458792:MPS458793 MZO458792:MZO458793 NJK458792:NJK458793 NTG458792:NTG458793 ODC458792:ODC458793 OMY458792:OMY458793 OWU458792:OWU458793 PGQ458792:PGQ458793 PQM458792:PQM458793 QAI458792:QAI458793 QKE458792:QKE458793 QUA458792:QUA458793 RDW458792:RDW458793 RNS458792:RNS458793 RXO458792:RXO458793 SHK458792:SHK458793 SRG458792:SRG458793 TBC458792:TBC458793 TKY458792:TKY458793 TUU458792:TUU458793 UEQ458792:UEQ458793 UOM458792:UOM458793 UYI458792:UYI458793 VIE458792:VIE458793 VSA458792:VSA458793 WBW458792:WBW458793 WLS458792:WLS458793 WVO458792:WVO458793 G524328:G524329 JC524328:JC524329 SY524328:SY524329 ACU524328:ACU524329 AMQ524328:AMQ524329 AWM524328:AWM524329 BGI524328:BGI524329 BQE524328:BQE524329 CAA524328:CAA524329 CJW524328:CJW524329 CTS524328:CTS524329 DDO524328:DDO524329 DNK524328:DNK524329 DXG524328:DXG524329 EHC524328:EHC524329 EQY524328:EQY524329 FAU524328:FAU524329 FKQ524328:FKQ524329 FUM524328:FUM524329 GEI524328:GEI524329 GOE524328:GOE524329 GYA524328:GYA524329 HHW524328:HHW524329 HRS524328:HRS524329 IBO524328:IBO524329 ILK524328:ILK524329 IVG524328:IVG524329 JFC524328:JFC524329 JOY524328:JOY524329 JYU524328:JYU524329 KIQ524328:KIQ524329 KSM524328:KSM524329 LCI524328:LCI524329 LME524328:LME524329 LWA524328:LWA524329 MFW524328:MFW524329 MPS524328:MPS524329 MZO524328:MZO524329 NJK524328:NJK524329 NTG524328:NTG524329 ODC524328:ODC524329 OMY524328:OMY524329 OWU524328:OWU524329 PGQ524328:PGQ524329 PQM524328:PQM524329 QAI524328:QAI524329 QKE524328:QKE524329 QUA524328:QUA524329 RDW524328:RDW524329 RNS524328:RNS524329 RXO524328:RXO524329 SHK524328:SHK524329 SRG524328:SRG524329 TBC524328:TBC524329 TKY524328:TKY524329 TUU524328:TUU524329 UEQ524328:UEQ524329 UOM524328:UOM524329 UYI524328:UYI524329 VIE524328:VIE524329 VSA524328:VSA524329 WBW524328:WBW524329 WLS524328:WLS524329 WVO524328:WVO524329 G589864:G589865 JC589864:JC589865 SY589864:SY589865 ACU589864:ACU589865 AMQ589864:AMQ589865 AWM589864:AWM589865 BGI589864:BGI589865 BQE589864:BQE589865 CAA589864:CAA589865 CJW589864:CJW589865 CTS589864:CTS589865 DDO589864:DDO589865 DNK589864:DNK589865 DXG589864:DXG589865 EHC589864:EHC589865 EQY589864:EQY589865 FAU589864:FAU589865 FKQ589864:FKQ589865 FUM589864:FUM589865 GEI589864:GEI589865 GOE589864:GOE589865 GYA589864:GYA589865 HHW589864:HHW589865 HRS589864:HRS589865 IBO589864:IBO589865 ILK589864:ILK589865 IVG589864:IVG589865 JFC589864:JFC589865 JOY589864:JOY589865 JYU589864:JYU589865 KIQ589864:KIQ589865 KSM589864:KSM589865 LCI589864:LCI589865 LME589864:LME589865 LWA589864:LWA589865 MFW589864:MFW589865 MPS589864:MPS589865 MZO589864:MZO589865 NJK589864:NJK589865 NTG589864:NTG589865 ODC589864:ODC589865 OMY589864:OMY589865 OWU589864:OWU589865 PGQ589864:PGQ589865 PQM589864:PQM589865 QAI589864:QAI589865 QKE589864:QKE589865 QUA589864:QUA589865 RDW589864:RDW589865 RNS589864:RNS589865 RXO589864:RXO589865 SHK589864:SHK589865 SRG589864:SRG589865 TBC589864:TBC589865 TKY589864:TKY589865 TUU589864:TUU589865 UEQ589864:UEQ589865 UOM589864:UOM589865 UYI589864:UYI589865 VIE589864:VIE589865 VSA589864:VSA589865 WBW589864:WBW589865 WLS589864:WLS589865 WVO589864:WVO589865 G655400:G655401 JC655400:JC655401 SY655400:SY655401 ACU655400:ACU655401 AMQ655400:AMQ655401 AWM655400:AWM655401 BGI655400:BGI655401 BQE655400:BQE655401 CAA655400:CAA655401 CJW655400:CJW655401 CTS655400:CTS655401 DDO655400:DDO655401 DNK655400:DNK655401 DXG655400:DXG655401 EHC655400:EHC655401 EQY655400:EQY655401 FAU655400:FAU655401 FKQ655400:FKQ655401 FUM655400:FUM655401 GEI655400:GEI655401 GOE655400:GOE655401 GYA655400:GYA655401 HHW655400:HHW655401 HRS655400:HRS655401 IBO655400:IBO655401 ILK655400:ILK655401 IVG655400:IVG655401 JFC655400:JFC655401 JOY655400:JOY655401 JYU655400:JYU655401 KIQ655400:KIQ655401 KSM655400:KSM655401 LCI655400:LCI655401 LME655400:LME655401 LWA655400:LWA655401 MFW655400:MFW655401 MPS655400:MPS655401 MZO655400:MZO655401 NJK655400:NJK655401 NTG655400:NTG655401 ODC655400:ODC655401 OMY655400:OMY655401 OWU655400:OWU655401 PGQ655400:PGQ655401 PQM655400:PQM655401 QAI655400:QAI655401 QKE655400:QKE655401 QUA655400:QUA655401 RDW655400:RDW655401 RNS655400:RNS655401 RXO655400:RXO655401 SHK655400:SHK655401 SRG655400:SRG655401 TBC655400:TBC655401 TKY655400:TKY655401 TUU655400:TUU655401 UEQ655400:UEQ655401 UOM655400:UOM655401 UYI655400:UYI655401 VIE655400:VIE655401 VSA655400:VSA655401 WBW655400:WBW655401 WLS655400:WLS655401 WVO655400:WVO655401 G720936:G720937 JC720936:JC720937 SY720936:SY720937 ACU720936:ACU720937 AMQ720936:AMQ720937 AWM720936:AWM720937 BGI720936:BGI720937 BQE720936:BQE720937 CAA720936:CAA720937 CJW720936:CJW720937 CTS720936:CTS720937 DDO720936:DDO720937 DNK720936:DNK720937 DXG720936:DXG720937 EHC720936:EHC720937 EQY720936:EQY720937 FAU720936:FAU720937 FKQ720936:FKQ720937 FUM720936:FUM720937 GEI720936:GEI720937 GOE720936:GOE720937 GYA720936:GYA720937 HHW720936:HHW720937 HRS720936:HRS720937 IBO720936:IBO720937 ILK720936:ILK720937 IVG720936:IVG720937 JFC720936:JFC720937 JOY720936:JOY720937 JYU720936:JYU720937 KIQ720936:KIQ720937 KSM720936:KSM720937 LCI720936:LCI720937 LME720936:LME720937 LWA720936:LWA720937 MFW720936:MFW720937 MPS720936:MPS720937 MZO720936:MZO720937 NJK720936:NJK720937 NTG720936:NTG720937 ODC720936:ODC720937 OMY720936:OMY720937 OWU720936:OWU720937 PGQ720936:PGQ720937 PQM720936:PQM720937 QAI720936:QAI720937 QKE720936:QKE720937 QUA720936:QUA720937 RDW720936:RDW720937 RNS720936:RNS720937 RXO720936:RXO720937 SHK720936:SHK720937 SRG720936:SRG720937 TBC720936:TBC720937 TKY720936:TKY720937 TUU720936:TUU720937 UEQ720936:UEQ720937 UOM720936:UOM720937 UYI720936:UYI720937 VIE720936:VIE720937 VSA720936:VSA720937 WBW720936:WBW720937 WLS720936:WLS720937 WVO720936:WVO720937 G786472:G786473 JC786472:JC786473 SY786472:SY786473 ACU786472:ACU786473 AMQ786472:AMQ786473 AWM786472:AWM786473 BGI786472:BGI786473 BQE786472:BQE786473 CAA786472:CAA786473 CJW786472:CJW786473 CTS786472:CTS786473 DDO786472:DDO786473 DNK786472:DNK786473 DXG786472:DXG786473 EHC786472:EHC786473 EQY786472:EQY786473 FAU786472:FAU786473 FKQ786472:FKQ786473 FUM786472:FUM786473 GEI786472:GEI786473 GOE786472:GOE786473 GYA786472:GYA786473 HHW786472:HHW786473 HRS786472:HRS786473 IBO786472:IBO786473 ILK786472:ILK786473 IVG786472:IVG786473 JFC786472:JFC786473 JOY786472:JOY786473 JYU786472:JYU786473 KIQ786472:KIQ786473 KSM786472:KSM786473 LCI786472:LCI786473 LME786472:LME786473 LWA786472:LWA786473 MFW786472:MFW786473 MPS786472:MPS786473 MZO786472:MZO786473 NJK786472:NJK786473 NTG786472:NTG786473 ODC786472:ODC786473 OMY786472:OMY786473 OWU786472:OWU786473 PGQ786472:PGQ786473 PQM786472:PQM786473 QAI786472:QAI786473 QKE786472:QKE786473 QUA786472:QUA786473 RDW786472:RDW786473 RNS786472:RNS786473 RXO786472:RXO786473 SHK786472:SHK786473 SRG786472:SRG786473 TBC786472:TBC786473 TKY786472:TKY786473 TUU786472:TUU786473 UEQ786472:UEQ786473 UOM786472:UOM786473 UYI786472:UYI786473 VIE786472:VIE786473 VSA786472:VSA786473 WBW786472:WBW786473 WLS786472:WLS786473 WVO786472:WVO786473 G852008:G852009 JC852008:JC852009 SY852008:SY852009 ACU852008:ACU852009 AMQ852008:AMQ852009 AWM852008:AWM852009 BGI852008:BGI852009 BQE852008:BQE852009 CAA852008:CAA852009 CJW852008:CJW852009 CTS852008:CTS852009 DDO852008:DDO852009 DNK852008:DNK852009 DXG852008:DXG852009 EHC852008:EHC852009 EQY852008:EQY852009 FAU852008:FAU852009 FKQ852008:FKQ852009 FUM852008:FUM852009 GEI852008:GEI852009 GOE852008:GOE852009 GYA852008:GYA852009 HHW852008:HHW852009 HRS852008:HRS852009 IBO852008:IBO852009 ILK852008:ILK852009 IVG852008:IVG852009 JFC852008:JFC852009 JOY852008:JOY852009 JYU852008:JYU852009 KIQ852008:KIQ852009 KSM852008:KSM852009 LCI852008:LCI852009 LME852008:LME852009 LWA852008:LWA852009 MFW852008:MFW852009 MPS852008:MPS852009 MZO852008:MZO852009 NJK852008:NJK852009 NTG852008:NTG852009 ODC852008:ODC852009 OMY852008:OMY852009 OWU852008:OWU852009 PGQ852008:PGQ852009 PQM852008:PQM852009 QAI852008:QAI852009 QKE852008:QKE852009 QUA852008:QUA852009 RDW852008:RDW852009 RNS852008:RNS852009 RXO852008:RXO852009 SHK852008:SHK852009 SRG852008:SRG852009 TBC852008:TBC852009 TKY852008:TKY852009 TUU852008:TUU852009 UEQ852008:UEQ852009 UOM852008:UOM852009 UYI852008:UYI852009 VIE852008:VIE852009 VSA852008:VSA852009 WBW852008:WBW852009 WLS852008:WLS852009 WVO852008:WVO852009 G917544:G917545 JC917544:JC917545 SY917544:SY917545 ACU917544:ACU917545 AMQ917544:AMQ917545 AWM917544:AWM917545 BGI917544:BGI917545 BQE917544:BQE917545 CAA917544:CAA917545 CJW917544:CJW917545 CTS917544:CTS917545 DDO917544:DDO917545 DNK917544:DNK917545 DXG917544:DXG917545 EHC917544:EHC917545 EQY917544:EQY917545 FAU917544:FAU917545 FKQ917544:FKQ917545 FUM917544:FUM917545 GEI917544:GEI917545 GOE917544:GOE917545 GYA917544:GYA917545 HHW917544:HHW917545 HRS917544:HRS917545 IBO917544:IBO917545 ILK917544:ILK917545 IVG917544:IVG917545 JFC917544:JFC917545 JOY917544:JOY917545 JYU917544:JYU917545 KIQ917544:KIQ917545 KSM917544:KSM917545 LCI917544:LCI917545 LME917544:LME917545 LWA917544:LWA917545 MFW917544:MFW917545 MPS917544:MPS917545 MZO917544:MZO917545 NJK917544:NJK917545 NTG917544:NTG917545 ODC917544:ODC917545 OMY917544:OMY917545 OWU917544:OWU917545 PGQ917544:PGQ917545 PQM917544:PQM917545 QAI917544:QAI917545 QKE917544:QKE917545 QUA917544:QUA917545 RDW917544:RDW917545 RNS917544:RNS917545 RXO917544:RXO917545 SHK917544:SHK917545 SRG917544:SRG917545 TBC917544:TBC917545 TKY917544:TKY917545 TUU917544:TUU917545 UEQ917544:UEQ917545 UOM917544:UOM917545 UYI917544:UYI917545 VIE917544:VIE917545 VSA917544:VSA917545 WBW917544:WBW917545 WLS917544:WLS917545 WVO917544:WVO917545 G983080:G983081 JC983080:JC983081 SY983080:SY983081 ACU983080:ACU983081 AMQ983080:AMQ983081 AWM983080:AWM983081 BGI983080:BGI983081 BQE983080:BQE983081 CAA983080:CAA983081 CJW983080:CJW983081 CTS983080:CTS983081 DDO983080:DDO983081 DNK983080:DNK983081 DXG983080:DXG983081 EHC983080:EHC983081 EQY983080:EQY983081 FAU983080:FAU983081 FKQ983080:FKQ983081 FUM983080:FUM983081 GEI983080:GEI983081 GOE983080:GOE983081 GYA983080:GYA983081 HHW983080:HHW983081 HRS983080:HRS983081 IBO983080:IBO983081 ILK983080:ILK983081 IVG983080:IVG983081 JFC983080:JFC983081 JOY983080:JOY983081 JYU983080:JYU983081 KIQ983080:KIQ983081 KSM983080:KSM983081 LCI983080:LCI983081 LME983080:LME983081 LWA983080:LWA983081 MFW983080:MFW983081 MPS983080:MPS983081 MZO983080:MZO983081 NJK983080:NJK983081 NTG983080:NTG983081 ODC983080:ODC983081 OMY983080:OMY983081 OWU983080:OWU983081 PGQ983080:PGQ983081 PQM983080:PQM983081 QAI983080:QAI983081 QKE983080:QKE983081 QUA983080:QUA983081 RDW983080:RDW983081 RNS983080:RNS983081 RXO983080:RXO983081 SHK983080:SHK983081 SRG983080:SRG983081 TBC983080:TBC983081 TKY983080:TKY983081 TUU983080:TUU983081 UEQ983080:UEQ983081 UOM983080:UOM983081 UYI983080:UYI983081 VIE983080:VIE983081 VSA983080:VSA983081 WBW983080:WBW983081 WLS983080:WLS983081 WVO983080:WVO983081 G34:G38 JC34:JC38 SY34:SY38 ACU34:ACU38 AMQ34:AMQ38 AWM34:AWM38 BGI34:BGI38 BQE34:BQE38 CAA34:CAA38 CJW34:CJW38 CTS34:CTS38 DDO34:DDO38 DNK34:DNK38 DXG34:DXG38 EHC34:EHC38 EQY34:EQY38 FAU34:FAU38 FKQ34:FKQ38 FUM34:FUM38 GEI34:GEI38 GOE34:GOE38 GYA34:GYA38 HHW34:HHW38 HRS34:HRS38 IBO34:IBO38 ILK34:ILK38 IVG34:IVG38 JFC34:JFC38 JOY34:JOY38 JYU34:JYU38 KIQ34:KIQ38 KSM34:KSM38 LCI34:LCI38 LME34:LME38 LWA34:LWA38 MFW34:MFW38 MPS34:MPS38 MZO34:MZO38 NJK34:NJK38 NTG34:NTG38 ODC34:ODC38 OMY34:OMY38 OWU34:OWU38 PGQ34:PGQ38 PQM34:PQM38 QAI34:QAI38 QKE34:QKE38 QUA34:QUA38 RDW34:RDW38 RNS34:RNS38 RXO34:RXO38 SHK34:SHK38 SRG34:SRG38 TBC34:TBC38 TKY34:TKY38 TUU34:TUU38 UEQ34:UEQ38 UOM34:UOM38 UYI34:UYI38 VIE34:VIE38 VSA34:VSA38 WBW34:WBW38 WLS34:WLS38 WVO34:WVO38 G65570:G65574 JC65570:JC65574 SY65570:SY65574 ACU65570:ACU65574 AMQ65570:AMQ65574 AWM65570:AWM65574 BGI65570:BGI65574 BQE65570:BQE65574 CAA65570:CAA65574 CJW65570:CJW65574 CTS65570:CTS65574 DDO65570:DDO65574 DNK65570:DNK65574 DXG65570:DXG65574 EHC65570:EHC65574 EQY65570:EQY65574 FAU65570:FAU65574 FKQ65570:FKQ65574 FUM65570:FUM65574 GEI65570:GEI65574 GOE65570:GOE65574 GYA65570:GYA65574 HHW65570:HHW65574 HRS65570:HRS65574 IBO65570:IBO65574 ILK65570:ILK65574 IVG65570:IVG65574 JFC65570:JFC65574 JOY65570:JOY65574 JYU65570:JYU65574 KIQ65570:KIQ65574 KSM65570:KSM65574 LCI65570:LCI65574 LME65570:LME65574 LWA65570:LWA65574 MFW65570:MFW65574 MPS65570:MPS65574 MZO65570:MZO65574 NJK65570:NJK65574 NTG65570:NTG65574 ODC65570:ODC65574 OMY65570:OMY65574 OWU65570:OWU65574 PGQ65570:PGQ65574 PQM65570:PQM65574 QAI65570:QAI65574 QKE65570:QKE65574 QUA65570:QUA65574 RDW65570:RDW65574 RNS65570:RNS65574 RXO65570:RXO65574 SHK65570:SHK65574 SRG65570:SRG65574 TBC65570:TBC65574 TKY65570:TKY65574 TUU65570:TUU65574 UEQ65570:UEQ65574 UOM65570:UOM65574 UYI65570:UYI65574 VIE65570:VIE65574 VSA65570:VSA65574 WBW65570:WBW65574 WLS65570:WLS65574 WVO65570:WVO65574 G131106:G131110 JC131106:JC131110 SY131106:SY131110 ACU131106:ACU131110 AMQ131106:AMQ131110 AWM131106:AWM131110 BGI131106:BGI131110 BQE131106:BQE131110 CAA131106:CAA131110 CJW131106:CJW131110 CTS131106:CTS131110 DDO131106:DDO131110 DNK131106:DNK131110 DXG131106:DXG131110 EHC131106:EHC131110 EQY131106:EQY131110 FAU131106:FAU131110 FKQ131106:FKQ131110 FUM131106:FUM131110 GEI131106:GEI131110 GOE131106:GOE131110 GYA131106:GYA131110 HHW131106:HHW131110 HRS131106:HRS131110 IBO131106:IBO131110 ILK131106:ILK131110 IVG131106:IVG131110 JFC131106:JFC131110 JOY131106:JOY131110 JYU131106:JYU131110 KIQ131106:KIQ131110 KSM131106:KSM131110 LCI131106:LCI131110 LME131106:LME131110 LWA131106:LWA131110 MFW131106:MFW131110 MPS131106:MPS131110 MZO131106:MZO131110 NJK131106:NJK131110 NTG131106:NTG131110 ODC131106:ODC131110 OMY131106:OMY131110 OWU131106:OWU131110 PGQ131106:PGQ131110 PQM131106:PQM131110 QAI131106:QAI131110 QKE131106:QKE131110 QUA131106:QUA131110 RDW131106:RDW131110 RNS131106:RNS131110 RXO131106:RXO131110 SHK131106:SHK131110 SRG131106:SRG131110 TBC131106:TBC131110 TKY131106:TKY131110 TUU131106:TUU131110 UEQ131106:UEQ131110 UOM131106:UOM131110 UYI131106:UYI131110 VIE131106:VIE131110 VSA131106:VSA131110 WBW131106:WBW131110 WLS131106:WLS131110 WVO131106:WVO131110 G196642:G196646 JC196642:JC196646 SY196642:SY196646 ACU196642:ACU196646 AMQ196642:AMQ196646 AWM196642:AWM196646 BGI196642:BGI196646 BQE196642:BQE196646 CAA196642:CAA196646 CJW196642:CJW196646 CTS196642:CTS196646 DDO196642:DDO196646 DNK196642:DNK196646 DXG196642:DXG196646 EHC196642:EHC196646 EQY196642:EQY196646 FAU196642:FAU196646 FKQ196642:FKQ196646 FUM196642:FUM196646 GEI196642:GEI196646 GOE196642:GOE196646 GYA196642:GYA196646 HHW196642:HHW196646 HRS196642:HRS196646 IBO196642:IBO196646 ILK196642:ILK196646 IVG196642:IVG196646 JFC196642:JFC196646 JOY196642:JOY196646 JYU196642:JYU196646 KIQ196642:KIQ196646 KSM196642:KSM196646 LCI196642:LCI196646 LME196642:LME196646 LWA196642:LWA196646 MFW196642:MFW196646 MPS196642:MPS196646 MZO196642:MZO196646 NJK196642:NJK196646 NTG196642:NTG196646 ODC196642:ODC196646 OMY196642:OMY196646 OWU196642:OWU196646 PGQ196642:PGQ196646 PQM196642:PQM196646 QAI196642:QAI196646 QKE196642:QKE196646 QUA196642:QUA196646 RDW196642:RDW196646 RNS196642:RNS196646 RXO196642:RXO196646 SHK196642:SHK196646 SRG196642:SRG196646 TBC196642:TBC196646 TKY196642:TKY196646 TUU196642:TUU196646 UEQ196642:UEQ196646 UOM196642:UOM196646 UYI196642:UYI196646 VIE196642:VIE196646 VSA196642:VSA196646 WBW196642:WBW196646 WLS196642:WLS196646 WVO196642:WVO196646 G262178:G262182 JC262178:JC262182 SY262178:SY262182 ACU262178:ACU262182 AMQ262178:AMQ262182 AWM262178:AWM262182 BGI262178:BGI262182 BQE262178:BQE262182 CAA262178:CAA262182 CJW262178:CJW262182 CTS262178:CTS262182 DDO262178:DDO262182 DNK262178:DNK262182 DXG262178:DXG262182 EHC262178:EHC262182 EQY262178:EQY262182 FAU262178:FAU262182 FKQ262178:FKQ262182 FUM262178:FUM262182 GEI262178:GEI262182 GOE262178:GOE262182 GYA262178:GYA262182 HHW262178:HHW262182 HRS262178:HRS262182 IBO262178:IBO262182 ILK262178:ILK262182 IVG262178:IVG262182 JFC262178:JFC262182 JOY262178:JOY262182 JYU262178:JYU262182 KIQ262178:KIQ262182 KSM262178:KSM262182 LCI262178:LCI262182 LME262178:LME262182 LWA262178:LWA262182 MFW262178:MFW262182 MPS262178:MPS262182 MZO262178:MZO262182 NJK262178:NJK262182 NTG262178:NTG262182 ODC262178:ODC262182 OMY262178:OMY262182 OWU262178:OWU262182 PGQ262178:PGQ262182 PQM262178:PQM262182 QAI262178:QAI262182 QKE262178:QKE262182 QUA262178:QUA262182 RDW262178:RDW262182 RNS262178:RNS262182 RXO262178:RXO262182 SHK262178:SHK262182 SRG262178:SRG262182 TBC262178:TBC262182 TKY262178:TKY262182 TUU262178:TUU262182 UEQ262178:UEQ262182 UOM262178:UOM262182 UYI262178:UYI262182 VIE262178:VIE262182 VSA262178:VSA262182 WBW262178:WBW262182 WLS262178:WLS262182 WVO262178:WVO262182 G327714:G327718 JC327714:JC327718 SY327714:SY327718 ACU327714:ACU327718 AMQ327714:AMQ327718 AWM327714:AWM327718 BGI327714:BGI327718 BQE327714:BQE327718 CAA327714:CAA327718 CJW327714:CJW327718 CTS327714:CTS327718 DDO327714:DDO327718 DNK327714:DNK327718 DXG327714:DXG327718 EHC327714:EHC327718 EQY327714:EQY327718 FAU327714:FAU327718 FKQ327714:FKQ327718 FUM327714:FUM327718 GEI327714:GEI327718 GOE327714:GOE327718 GYA327714:GYA327718 HHW327714:HHW327718 HRS327714:HRS327718 IBO327714:IBO327718 ILK327714:ILK327718 IVG327714:IVG327718 JFC327714:JFC327718 JOY327714:JOY327718 JYU327714:JYU327718 KIQ327714:KIQ327718 KSM327714:KSM327718 LCI327714:LCI327718 LME327714:LME327718 LWA327714:LWA327718 MFW327714:MFW327718 MPS327714:MPS327718 MZO327714:MZO327718 NJK327714:NJK327718 NTG327714:NTG327718 ODC327714:ODC327718 OMY327714:OMY327718 OWU327714:OWU327718 PGQ327714:PGQ327718 PQM327714:PQM327718 QAI327714:QAI327718 QKE327714:QKE327718 QUA327714:QUA327718 RDW327714:RDW327718 RNS327714:RNS327718 RXO327714:RXO327718 SHK327714:SHK327718 SRG327714:SRG327718 TBC327714:TBC327718 TKY327714:TKY327718 TUU327714:TUU327718 UEQ327714:UEQ327718 UOM327714:UOM327718 UYI327714:UYI327718 VIE327714:VIE327718 VSA327714:VSA327718 WBW327714:WBW327718 WLS327714:WLS327718 WVO327714:WVO327718 G393250:G393254 JC393250:JC393254 SY393250:SY393254 ACU393250:ACU393254 AMQ393250:AMQ393254 AWM393250:AWM393254 BGI393250:BGI393254 BQE393250:BQE393254 CAA393250:CAA393254 CJW393250:CJW393254 CTS393250:CTS393254 DDO393250:DDO393254 DNK393250:DNK393254 DXG393250:DXG393254 EHC393250:EHC393254 EQY393250:EQY393254 FAU393250:FAU393254 FKQ393250:FKQ393254 FUM393250:FUM393254 GEI393250:GEI393254 GOE393250:GOE393254 GYA393250:GYA393254 HHW393250:HHW393254 HRS393250:HRS393254 IBO393250:IBO393254 ILK393250:ILK393254 IVG393250:IVG393254 JFC393250:JFC393254 JOY393250:JOY393254 JYU393250:JYU393254 KIQ393250:KIQ393254 KSM393250:KSM393254 LCI393250:LCI393254 LME393250:LME393254 LWA393250:LWA393254 MFW393250:MFW393254 MPS393250:MPS393254 MZO393250:MZO393254 NJK393250:NJK393254 NTG393250:NTG393254 ODC393250:ODC393254 OMY393250:OMY393254 OWU393250:OWU393254 PGQ393250:PGQ393254 PQM393250:PQM393254 QAI393250:QAI393254 QKE393250:QKE393254 QUA393250:QUA393254 RDW393250:RDW393254 RNS393250:RNS393254 RXO393250:RXO393254 SHK393250:SHK393254 SRG393250:SRG393254 TBC393250:TBC393254 TKY393250:TKY393254 TUU393250:TUU393254 UEQ393250:UEQ393254 UOM393250:UOM393254 UYI393250:UYI393254 VIE393250:VIE393254 VSA393250:VSA393254 WBW393250:WBW393254 WLS393250:WLS393254 WVO393250:WVO393254 G458786:G458790 JC458786:JC458790 SY458786:SY458790 ACU458786:ACU458790 AMQ458786:AMQ458790 AWM458786:AWM458790 BGI458786:BGI458790 BQE458786:BQE458790 CAA458786:CAA458790 CJW458786:CJW458790 CTS458786:CTS458790 DDO458786:DDO458790 DNK458786:DNK458790 DXG458786:DXG458790 EHC458786:EHC458790 EQY458786:EQY458790 FAU458786:FAU458790 FKQ458786:FKQ458790 FUM458786:FUM458790 GEI458786:GEI458790 GOE458786:GOE458790 GYA458786:GYA458790 HHW458786:HHW458790 HRS458786:HRS458790 IBO458786:IBO458790 ILK458786:ILK458790 IVG458786:IVG458790 JFC458786:JFC458790 JOY458786:JOY458790 JYU458786:JYU458790 KIQ458786:KIQ458790 KSM458786:KSM458790 LCI458786:LCI458790 LME458786:LME458790 LWA458786:LWA458790 MFW458786:MFW458790 MPS458786:MPS458790 MZO458786:MZO458790 NJK458786:NJK458790 NTG458786:NTG458790 ODC458786:ODC458790 OMY458786:OMY458790 OWU458786:OWU458790 PGQ458786:PGQ458790 PQM458786:PQM458790 QAI458786:QAI458790 QKE458786:QKE458790 QUA458786:QUA458790 RDW458786:RDW458790 RNS458786:RNS458790 RXO458786:RXO458790 SHK458786:SHK458790 SRG458786:SRG458790 TBC458786:TBC458790 TKY458786:TKY458790 TUU458786:TUU458790 UEQ458786:UEQ458790 UOM458786:UOM458790 UYI458786:UYI458790 VIE458786:VIE458790 VSA458786:VSA458790 WBW458786:WBW458790 WLS458786:WLS458790 WVO458786:WVO458790 G524322:G524326 JC524322:JC524326 SY524322:SY524326 ACU524322:ACU524326 AMQ524322:AMQ524326 AWM524322:AWM524326 BGI524322:BGI524326 BQE524322:BQE524326 CAA524322:CAA524326 CJW524322:CJW524326 CTS524322:CTS524326 DDO524322:DDO524326 DNK524322:DNK524326 DXG524322:DXG524326 EHC524322:EHC524326 EQY524322:EQY524326 FAU524322:FAU524326 FKQ524322:FKQ524326 FUM524322:FUM524326 GEI524322:GEI524326 GOE524322:GOE524326 GYA524322:GYA524326 HHW524322:HHW524326 HRS524322:HRS524326 IBO524322:IBO524326 ILK524322:ILK524326 IVG524322:IVG524326 JFC524322:JFC524326 JOY524322:JOY524326 JYU524322:JYU524326 KIQ524322:KIQ524326 KSM524322:KSM524326 LCI524322:LCI524326 LME524322:LME524326 LWA524322:LWA524326 MFW524322:MFW524326 MPS524322:MPS524326 MZO524322:MZO524326 NJK524322:NJK524326 NTG524322:NTG524326 ODC524322:ODC524326 OMY524322:OMY524326 OWU524322:OWU524326 PGQ524322:PGQ524326 PQM524322:PQM524326 QAI524322:QAI524326 QKE524322:QKE524326 QUA524322:QUA524326 RDW524322:RDW524326 RNS524322:RNS524326 RXO524322:RXO524326 SHK524322:SHK524326 SRG524322:SRG524326 TBC524322:TBC524326 TKY524322:TKY524326 TUU524322:TUU524326 UEQ524322:UEQ524326 UOM524322:UOM524326 UYI524322:UYI524326 VIE524322:VIE524326 VSA524322:VSA524326 WBW524322:WBW524326 WLS524322:WLS524326 WVO524322:WVO524326 G589858:G589862 JC589858:JC589862 SY589858:SY589862 ACU589858:ACU589862 AMQ589858:AMQ589862 AWM589858:AWM589862 BGI589858:BGI589862 BQE589858:BQE589862 CAA589858:CAA589862 CJW589858:CJW589862 CTS589858:CTS589862 DDO589858:DDO589862 DNK589858:DNK589862 DXG589858:DXG589862 EHC589858:EHC589862 EQY589858:EQY589862 FAU589858:FAU589862 FKQ589858:FKQ589862 FUM589858:FUM589862 GEI589858:GEI589862 GOE589858:GOE589862 GYA589858:GYA589862 HHW589858:HHW589862 HRS589858:HRS589862 IBO589858:IBO589862 ILK589858:ILK589862 IVG589858:IVG589862 JFC589858:JFC589862 JOY589858:JOY589862 JYU589858:JYU589862 KIQ589858:KIQ589862 KSM589858:KSM589862 LCI589858:LCI589862 LME589858:LME589862 LWA589858:LWA589862 MFW589858:MFW589862 MPS589858:MPS589862 MZO589858:MZO589862 NJK589858:NJK589862 NTG589858:NTG589862 ODC589858:ODC589862 OMY589858:OMY589862 OWU589858:OWU589862 PGQ589858:PGQ589862 PQM589858:PQM589862 QAI589858:QAI589862 QKE589858:QKE589862 QUA589858:QUA589862 RDW589858:RDW589862 RNS589858:RNS589862 RXO589858:RXO589862 SHK589858:SHK589862 SRG589858:SRG589862 TBC589858:TBC589862 TKY589858:TKY589862 TUU589858:TUU589862 UEQ589858:UEQ589862 UOM589858:UOM589862 UYI589858:UYI589862 VIE589858:VIE589862 VSA589858:VSA589862 WBW589858:WBW589862 WLS589858:WLS589862 WVO589858:WVO589862 G655394:G655398 JC655394:JC655398 SY655394:SY655398 ACU655394:ACU655398 AMQ655394:AMQ655398 AWM655394:AWM655398 BGI655394:BGI655398 BQE655394:BQE655398 CAA655394:CAA655398 CJW655394:CJW655398 CTS655394:CTS655398 DDO655394:DDO655398 DNK655394:DNK655398 DXG655394:DXG655398 EHC655394:EHC655398 EQY655394:EQY655398 FAU655394:FAU655398 FKQ655394:FKQ655398 FUM655394:FUM655398 GEI655394:GEI655398 GOE655394:GOE655398 GYA655394:GYA655398 HHW655394:HHW655398 HRS655394:HRS655398 IBO655394:IBO655398 ILK655394:ILK655398 IVG655394:IVG655398 JFC655394:JFC655398 JOY655394:JOY655398 JYU655394:JYU655398 KIQ655394:KIQ655398 KSM655394:KSM655398 LCI655394:LCI655398 LME655394:LME655398 LWA655394:LWA655398 MFW655394:MFW655398 MPS655394:MPS655398 MZO655394:MZO655398 NJK655394:NJK655398 NTG655394:NTG655398 ODC655394:ODC655398 OMY655394:OMY655398 OWU655394:OWU655398 PGQ655394:PGQ655398 PQM655394:PQM655398 QAI655394:QAI655398 QKE655394:QKE655398 QUA655394:QUA655398 RDW655394:RDW655398 RNS655394:RNS655398 RXO655394:RXO655398 SHK655394:SHK655398 SRG655394:SRG655398 TBC655394:TBC655398 TKY655394:TKY655398 TUU655394:TUU655398 UEQ655394:UEQ655398 UOM655394:UOM655398 UYI655394:UYI655398 VIE655394:VIE655398 VSA655394:VSA655398 WBW655394:WBW655398 WLS655394:WLS655398 WVO655394:WVO655398 G720930:G720934 JC720930:JC720934 SY720930:SY720934 ACU720930:ACU720934 AMQ720930:AMQ720934 AWM720930:AWM720934 BGI720930:BGI720934 BQE720930:BQE720934 CAA720930:CAA720934 CJW720930:CJW720934 CTS720930:CTS720934 DDO720930:DDO720934 DNK720930:DNK720934 DXG720930:DXG720934 EHC720930:EHC720934 EQY720930:EQY720934 FAU720930:FAU720934 FKQ720930:FKQ720934 FUM720930:FUM720934 GEI720930:GEI720934 GOE720930:GOE720934 GYA720930:GYA720934 HHW720930:HHW720934 HRS720930:HRS720934 IBO720930:IBO720934 ILK720930:ILK720934 IVG720930:IVG720934 JFC720930:JFC720934 JOY720930:JOY720934 JYU720930:JYU720934 KIQ720930:KIQ720934 KSM720930:KSM720934 LCI720930:LCI720934 LME720930:LME720934 LWA720930:LWA720934 MFW720930:MFW720934 MPS720930:MPS720934 MZO720930:MZO720934 NJK720930:NJK720934 NTG720930:NTG720934 ODC720930:ODC720934 OMY720930:OMY720934 OWU720930:OWU720934 PGQ720930:PGQ720934 PQM720930:PQM720934 QAI720930:QAI720934 QKE720930:QKE720934 QUA720930:QUA720934 RDW720930:RDW720934 RNS720930:RNS720934 RXO720930:RXO720934 SHK720930:SHK720934 SRG720930:SRG720934 TBC720930:TBC720934 TKY720930:TKY720934 TUU720930:TUU720934 UEQ720930:UEQ720934 UOM720930:UOM720934 UYI720930:UYI720934 VIE720930:VIE720934 VSA720930:VSA720934 WBW720930:WBW720934 WLS720930:WLS720934 WVO720930:WVO720934 G786466:G786470 JC786466:JC786470 SY786466:SY786470 ACU786466:ACU786470 AMQ786466:AMQ786470 AWM786466:AWM786470 BGI786466:BGI786470 BQE786466:BQE786470 CAA786466:CAA786470 CJW786466:CJW786470 CTS786466:CTS786470 DDO786466:DDO786470 DNK786466:DNK786470 DXG786466:DXG786470 EHC786466:EHC786470 EQY786466:EQY786470 FAU786466:FAU786470 FKQ786466:FKQ786470 FUM786466:FUM786470 GEI786466:GEI786470 GOE786466:GOE786470 GYA786466:GYA786470 HHW786466:HHW786470 HRS786466:HRS786470 IBO786466:IBO786470 ILK786466:ILK786470 IVG786466:IVG786470 JFC786466:JFC786470 JOY786466:JOY786470 JYU786466:JYU786470 KIQ786466:KIQ786470 KSM786466:KSM786470 LCI786466:LCI786470 LME786466:LME786470 LWA786466:LWA786470 MFW786466:MFW786470 MPS786466:MPS786470 MZO786466:MZO786470 NJK786466:NJK786470 NTG786466:NTG786470 ODC786466:ODC786470 OMY786466:OMY786470 OWU786466:OWU786470 PGQ786466:PGQ786470 PQM786466:PQM786470 QAI786466:QAI786470 QKE786466:QKE786470 QUA786466:QUA786470 RDW786466:RDW786470 RNS786466:RNS786470 RXO786466:RXO786470 SHK786466:SHK786470 SRG786466:SRG786470 TBC786466:TBC786470 TKY786466:TKY786470 TUU786466:TUU786470 UEQ786466:UEQ786470 UOM786466:UOM786470 UYI786466:UYI786470 VIE786466:VIE786470 VSA786466:VSA786470 WBW786466:WBW786470 WLS786466:WLS786470 WVO786466:WVO786470 G852002:G852006 JC852002:JC852006 SY852002:SY852006 ACU852002:ACU852006 AMQ852002:AMQ852006 AWM852002:AWM852006 BGI852002:BGI852006 BQE852002:BQE852006 CAA852002:CAA852006 CJW852002:CJW852006 CTS852002:CTS852006 DDO852002:DDO852006 DNK852002:DNK852006 DXG852002:DXG852006 EHC852002:EHC852006 EQY852002:EQY852006 FAU852002:FAU852006 FKQ852002:FKQ852006 FUM852002:FUM852006 GEI852002:GEI852006 GOE852002:GOE852006 GYA852002:GYA852006 HHW852002:HHW852006 HRS852002:HRS852006 IBO852002:IBO852006 ILK852002:ILK852006 IVG852002:IVG852006 JFC852002:JFC852006 JOY852002:JOY852006 JYU852002:JYU852006 KIQ852002:KIQ852006 KSM852002:KSM852006 LCI852002:LCI852006 LME852002:LME852006 LWA852002:LWA852006 MFW852002:MFW852006 MPS852002:MPS852006 MZO852002:MZO852006 NJK852002:NJK852006 NTG852002:NTG852006 ODC852002:ODC852006 OMY852002:OMY852006 OWU852002:OWU852006 PGQ852002:PGQ852006 PQM852002:PQM852006 QAI852002:QAI852006 QKE852002:QKE852006 QUA852002:QUA852006 RDW852002:RDW852006 RNS852002:RNS852006 RXO852002:RXO852006 SHK852002:SHK852006 SRG852002:SRG852006 TBC852002:TBC852006 TKY852002:TKY852006 TUU852002:TUU852006 UEQ852002:UEQ852006 UOM852002:UOM852006 UYI852002:UYI852006 VIE852002:VIE852006 VSA852002:VSA852006 WBW852002:WBW852006 WLS852002:WLS852006 WVO852002:WVO852006 G917538:G917542 JC917538:JC917542 SY917538:SY917542 ACU917538:ACU917542 AMQ917538:AMQ917542 AWM917538:AWM917542 BGI917538:BGI917542 BQE917538:BQE917542 CAA917538:CAA917542 CJW917538:CJW917542 CTS917538:CTS917542 DDO917538:DDO917542 DNK917538:DNK917542 DXG917538:DXG917542 EHC917538:EHC917542 EQY917538:EQY917542 FAU917538:FAU917542 FKQ917538:FKQ917542 FUM917538:FUM917542 GEI917538:GEI917542 GOE917538:GOE917542 GYA917538:GYA917542 HHW917538:HHW917542 HRS917538:HRS917542 IBO917538:IBO917542 ILK917538:ILK917542 IVG917538:IVG917542 JFC917538:JFC917542 JOY917538:JOY917542 JYU917538:JYU917542 KIQ917538:KIQ917542 KSM917538:KSM917542 LCI917538:LCI917542 LME917538:LME917542 LWA917538:LWA917542 MFW917538:MFW917542 MPS917538:MPS917542 MZO917538:MZO917542 NJK917538:NJK917542 NTG917538:NTG917542 ODC917538:ODC917542 OMY917538:OMY917542 OWU917538:OWU917542 PGQ917538:PGQ917542 PQM917538:PQM917542 QAI917538:QAI917542 QKE917538:QKE917542 QUA917538:QUA917542 RDW917538:RDW917542 RNS917538:RNS917542 RXO917538:RXO917542 SHK917538:SHK917542 SRG917538:SRG917542 TBC917538:TBC917542 TKY917538:TKY917542 TUU917538:TUU917542 UEQ917538:UEQ917542 UOM917538:UOM917542 UYI917538:UYI917542 VIE917538:VIE917542 VSA917538:VSA917542 WBW917538:WBW917542 WLS917538:WLS917542 WVO917538:WVO917542 G983074:G983078 JC983074:JC983078 SY983074:SY983078 ACU983074:ACU983078 AMQ983074:AMQ983078 AWM983074:AWM983078 BGI983074:BGI983078 BQE983074:BQE983078 CAA983074:CAA983078 CJW983074:CJW983078 CTS983074:CTS983078 DDO983074:DDO983078 DNK983074:DNK983078 DXG983074:DXG983078 EHC983074:EHC983078 EQY983074:EQY983078 FAU983074:FAU983078 FKQ983074:FKQ983078 FUM983074:FUM983078 GEI983074:GEI983078 GOE983074:GOE983078 GYA983074:GYA983078 HHW983074:HHW983078 HRS983074:HRS983078 IBO983074:IBO983078 ILK983074:ILK983078 IVG983074:IVG983078 JFC983074:JFC983078 JOY983074:JOY983078 JYU983074:JYU983078 KIQ983074:KIQ983078 KSM983074:KSM983078 LCI983074:LCI983078 LME983074:LME983078 LWA983074:LWA983078 MFW983074:MFW983078 MPS983074:MPS983078 MZO983074:MZO983078 NJK983074:NJK983078 NTG983074:NTG983078 ODC983074:ODC983078 OMY983074:OMY983078 OWU983074:OWU983078 PGQ983074:PGQ983078 PQM983074:PQM983078 QAI983074:QAI983078 QKE983074:QKE983078 QUA983074:QUA983078 RDW983074:RDW983078 RNS983074:RNS983078 RXO983074:RXO983078 SHK983074:SHK983078 SRG983074:SRG983078 TBC983074:TBC983078 TKY983074:TKY983078 TUU983074:TUU983078 UEQ983074:UEQ983078 UOM983074:UOM983078 UYI983074:UYI983078 VIE983074:VIE983078 VSA983074:VSA983078 WBW983074:WBW983078 WLS983074:WLS983078 WVO983074:WVO983078">
      <formula1>K34</formula1>
      <formula2>L34</formula2>
    </dataValidation>
    <dataValidation type="list" allowBlank="1" showInputMessage="1" showErrorMessage="1" sqref="D31 IZ31 SV31 ACR31 AMN31 AWJ31 BGF31 BQB31 BZX31 CJT31 CTP31 DDL31 DNH31 DXD31 EGZ31 EQV31 FAR31 FKN31 FUJ31 GEF31 GOB31 GXX31 HHT31 HRP31 IBL31 ILH31 IVD31 JEZ31 JOV31 JYR31 KIN31 KSJ31 LCF31 LMB31 LVX31 MFT31 MPP31 MZL31 NJH31 NTD31 OCZ31 OMV31 OWR31 PGN31 PQJ31 QAF31 QKB31 QTX31 RDT31 RNP31 RXL31 SHH31 SRD31 TAZ31 TKV31 TUR31 UEN31 UOJ31 UYF31 VIB31 VRX31 WBT31 WLP31 WVL31 D65567 IZ65567 SV65567 ACR65567 AMN65567 AWJ65567 BGF65567 BQB65567 BZX65567 CJT65567 CTP65567 DDL65567 DNH65567 DXD65567 EGZ65567 EQV65567 FAR65567 FKN65567 FUJ65567 GEF65567 GOB65567 GXX65567 HHT65567 HRP65567 IBL65567 ILH65567 IVD65567 JEZ65567 JOV65567 JYR65567 KIN65567 KSJ65567 LCF65567 LMB65567 LVX65567 MFT65567 MPP65567 MZL65567 NJH65567 NTD65567 OCZ65567 OMV65567 OWR65567 PGN65567 PQJ65567 QAF65567 QKB65567 QTX65567 RDT65567 RNP65567 RXL65567 SHH65567 SRD65567 TAZ65567 TKV65567 TUR65567 UEN65567 UOJ65567 UYF65567 VIB65567 VRX65567 WBT65567 WLP65567 WVL65567 D131103 IZ131103 SV131103 ACR131103 AMN131103 AWJ131103 BGF131103 BQB131103 BZX131103 CJT131103 CTP131103 DDL131103 DNH131103 DXD131103 EGZ131103 EQV131103 FAR131103 FKN131103 FUJ131103 GEF131103 GOB131103 GXX131103 HHT131103 HRP131103 IBL131103 ILH131103 IVD131103 JEZ131103 JOV131103 JYR131103 KIN131103 KSJ131103 LCF131103 LMB131103 LVX131103 MFT131103 MPP131103 MZL131103 NJH131103 NTD131103 OCZ131103 OMV131103 OWR131103 PGN131103 PQJ131103 QAF131103 QKB131103 QTX131103 RDT131103 RNP131103 RXL131103 SHH131103 SRD131103 TAZ131103 TKV131103 TUR131103 UEN131103 UOJ131103 UYF131103 VIB131103 VRX131103 WBT131103 WLP131103 WVL131103 D196639 IZ196639 SV196639 ACR196639 AMN196639 AWJ196639 BGF196639 BQB196639 BZX196639 CJT196639 CTP196639 DDL196639 DNH196639 DXD196639 EGZ196639 EQV196639 FAR196639 FKN196639 FUJ196639 GEF196639 GOB196639 GXX196639 HHT196639 HRP196639 IBL196639 ILH196639 IVD196639 JEZ196639 JOV196639 JYR196639 KIN196639 KSJ196639 LCF196639 LMB196639 LVX196639 MFT196639 MPP196639 MZL196639 NJH196639 NTD196639 OCZ196639 OMV196639 OWR196639 PGN196639 PQJ196639 QAF196639 QKB196639 QTX196639 RDT196639 RNP196639 RXL196639 SHH196639 SRD196639 TAZ196639 TKV196639 TUR196639 UEN196639 UOJ196639 UYF196639 VIB196639 VRX196639 WBT196639 WLP196639 WVL196639 D262175 IZ262175 SV262175 ACR262175 AMN262175 AWJ262175 BGF262175 BQB262175 BZX262175 CJT262175 CTP262175 DDL262175 DNH262175 DXD262175 EGZ262175 EQV262175 FAR262175 FKN262175 FUJ262175 GEF262175 GOB262175 GXX262175 HHT262175 HRP262175 IBL262175 ILH262175 IVD262175 JEZ262175 JOV262175 JYR262175 KIN262175 KSJ262175 LCF262175 LMB262175 LVX262175 MFT262175 MPP262175 MZL262175 NJH262175 NTD262175 OCZ262175 OMV262175 OWR262175 PGN262175 PQJ262175 QAF262175 QKB262175 QTX262175 RDT262175 RNP262175 RXL262175 SHH262175 SRD262175 TAZ262175 TKV262175 TUR262175 UEN262175 UOJ262175 UYF262175 VIB262175 VRX262175 WBT262175 WLP262175 WVL262175 D327711 IZ327711 SV327711 ACR327711 AMN327711 AWJ327711 BGF327711 BQB327711 BZX327711 CJT327711 CTP327711 DDL327711 DNH327711 DXD327711 EGZ327711 EQV327711 FAR327711 FKN327711 FUJ327711 GEF327711 GOB327711 GXX327711 HHT327711 HRP327711 IBL327711 ILH327711 IVD327711 JEZ327711 JOV327711 JYR327711 KIN327711 KSJ327711 LCF327711 LMB327711 LVX327711 MFT327711 MPP327711 MZL327711 NJH327711 NTD327711 OCZ327711 OMV327711 OWR327711 PGN327711 PQJ327711 QAF327711 QKB327711 QTX327711 RDT327711 RNP327711 RXL327711 SHH327711 SRD327711 TAZ327711 TKV327711 TUR327711 UEN327711 UOJ327711 UYF327711 VIB327711 VRX327711 WBT327711 WLP327711 WVL327711 D393247 IZ393247 SV393247 ACR393247 AMN393247 AWJ393247 BGF393247 BQB393247 BZX393247 CJT393247 CTP393247 DDL393247 DNH393247 DXD393247 EGZ393247 EQV393247 FAR393247 FKN393247 FUJ393247 GEF393247 GOB393247 GXX393247 HHT393247 HRP393247 IBL393247 ILH393247 IVD393247 JEZ393247 JOV393247 JYR393247 KIN393247 KSJ393247 LCF393247 LMB393247 LVX393247 MFT393247 MPP393247 MZL393247 NJH393247 NTD393247 OCZ393247 OMV393247 OWR393247 PGN393247 PQJ393247 QAF393247 QKB393247 QTX393247 RDT393247 RNP393247 RXL393247 SHH393247 SRD393247 TAZ393247 TKV393247 TUR393247 UEN393247 UOJ393247 UYF393247 VIB393247 VRX393247 WBT393247 WLP393247 WVL393247 D458783 IZ458783 SV458783 ACR458783 AMN458783 AWJ458783 BGF458783 BQB458783 BZX458783 CJT458783 CTP458783 DDL458783 DNH458783 DXD458783 EGZ458783 EQV458783 FAR458783 FKN458783 FUJ458783 GEF458783 GOB458783 GXX458783 HHT458783 HRP458783 IBL458783 ILH458783 IVD458783 JEZ458783 JOV458783 JYR458783 KIN458783 KSJ458783 LCF458783 LMB458783 LVX458783 MFT458783 MPP458783 MZL458783 NJH458783 NTD458783 OCZ458783 OMV458783 OWR458783 PGN458783 PQJ458783 QAF458783 QKB458783 QTX458783 RDT458783 RNP458783 RXL458783 SHH458783 SRD458783 TAZ458783 TKV458783 TUR458783 UEN458783 UOJ458783 UYF458783 VIB458783 VRX458783 WBT458783 WLP458783 WVL458783 D524319 IZ524319 SV524319 ACR524319 AMN524319 AWJ524319 BGF524319 BQB524319 BZX524319 CJT524319 CTP524319 DDL524319 DNH524319 DXD524319 EGZ524319 EQV524319 FAR524319 FKN524319 FUJ524319 GEF524319 GOB524319 GXX524319 HHT524319 HRP524319 IBL524319 ILH524319 IVD524319 JEZ524319 JOV524319 JYR524319 KIN524319 KSJ524319 LCF524319 LMB524319 LVX524319 MFT524319 MPP524319 MZL524319 NJH524319 NTD524319 OCZ524319 OMV524319 OWR524319 PGN524319 PQJ524319 QAF524319 QKB524319 QTX524319 RDT524319 RNP524319 RXL524319 SHH524319 SRD524319 TAZ524319 TKV524319 TUR524319 UEN524319 UOJ524319 UYF524319 VIB524319 VRX524319 WBT524319 WLP524319 WVL524319 D589855 IZ589855 SV589855 ACR589855 AMN589855 AWJ589855 BGF589855 BQB589855 BZX589855 CJT589855 CTP589855 DDL589855 DNH589855 DXD589855 EGZ589855 EQV589855 FAR589855 FKN589855 FUJ589855 GEF589855 GOB589855 GXX589855 HHT589855 HRP589855 IBL589855 ILH589855 IVD589855 JEZ589855 JOV589855 JYR589855 KIN589855 KSJ589855 LCF589855 LMB589855 LVX589855 MFT589855 MPP589855 MZL589855 NJH589855 NTD589855 OCZ589855 OMV589855 OWR589855 PGN589855 PQJ589855 QAF589855 QKB589855 QTX589855 RDT589855 RNP589855 RXL589855 SHH589855 SRD589855 TAZ589855 TKV589855 TUR589855 UEN589855 UOJ589855 UYF589855 VIB589855 VRX589855 WBT589855 WLP589855 WVL589855 D655391 IZ655391 SV655391 ACR655391 AMN655391 AWJ655391 BGF655391 BQB655391 BZX655391 CJT655391 CTP655391 DDL655391 DNH655391 DXD655391 EGZ655391 EQV655391 FAR655391 FKN655391 FUJ655391 GEF655391 GOB655391 GXX655391 HHT655391 HRP655391 IBL655391 ILH655391 IVD655391 JEZ655391 JOV655391 JYR655391 KIN655391 KSJ655391 LCF655391 LMB655391 LVX655391 MFT655391 MPP655391 MZL655391 NJH655391 NTD655391 OCZ655391 OMV655391 OWR655391 PGN655391 PQJ655391 QAF655391 QKB655391 QTX655391 RDT655391 RNP655391 RXL655391 SHH655391 SRD655391 TAZ655391 TKV655391 TUR655391 UEN655391 UOJ655391 UYF655391 VIB655391 VRX655391 WBT655391 WLP655391 WVL655391 D720927 IZ720927 SV720927 ACR720927 AMN720927 AWJ720927 BGF720927 BQB720927 BZX720927 CJT720927 CTP720927 DDL720927 DNH720927 DXD720927 EGZ720927 EQV720927 FAR720927 FKN720927 FUJ720927 GEF720927 GOB720927 GXX720927 HHT720927 HRP720927 IBL720927 ILH720927 IVD720927 JEZ720927 JOV720927 JYR720927 KIN720927 KSJ720927 LCF720927 LMB720927 LVX720927 MFT720927 MPP720927 MZL720927 NJH720927 NTD720927 OCZ720927 OMV720927 OWR720927 PGN720927 PQJ720927 QAF720927 QKB720927 QTX720927 RDT720927 RNP720927 RXL720927 SHH720927 SRD720927 TAZ720927 TKV720927 TUR720927 UEN720927 UOJ720927 UYF720927 VIB720927 VRX720927 WBT720927 WLP720927 WVL720927 D786463 IZ786463 SV786463 ACR786463 AMN786463 AWJ786463 BGF786463 BQB786463 BZX786463 CJT786463 CTP786463 DDL786463 DNH786463 DXD786463 EGZ786463 EQV786463 FAR786463 FKN786463 FUJ786463 GEF786463 GOB786463 GXX786463 HHT786463 HRP786463 IBL786463 ILH786463 IVD786463 JEZ786463 JOV786463 JYR786463 KIN786463 KSJ786463 LCF786463 LMB786463 LVX786463 MFT786463 MPP786463 MZL786463 NJH786463 NTD786463 OCZ786463 OMV786463 OWR786463 PGN786463 PQJ786463 QAF786463 QKB786463 QTX786463 RDT786463 RNP786463 RXL786463 SHH786463 SRD786463 TAZ786463 TKV786463 TUR786463 UEN786463 UOJ786463 UYF786463 VIB786463 VRX786463 WBT786463 WLP786463 WVL786463 D851999 IZ851999 SV851999 ACR851999 AMN851999 AWJ851999 BGF851999 BQB851999 BZX851999 CJT851999 CTP851999 DDL851999 DNH851999 DXD851999 EGZ851999 EQV851999 FAR851999 FKN851999 FUJ851999 GEF851999 GOB851999 GXX851999 HHT851999 HRP851999 IBL851999 ILH851999 IVD851999 JEZ851999 JOV851999 JYR851999 KIN851999 KSJ851999 LCF851999 LMB851999 LVX851999 MFT851999 MPP851999 MZL851999 NJH851999 NTD851999 OCZ851999 OMV851999 OWR851999 PGN851999 PQJ851999 QAF851999 QKB851999 QTX851999 RDT851999 RNP851999 RXL851999 SHH851999 SRD851999 TAZ851999 TKV851999 TUR851999 UEN851999 UOJ851999 UYF851999 VIB851999 VRX851999 WBT851999 WLP851999 WVL851999 D917535 IZ917535 SV917535 ACR917535 AMN917535 AWJ917535 BGF917535 BQB917535 BZX917535 CJT917535 CTP917535 DDL917535 DNH917535 DXD917535 EGZ917535 EQV917535 FAR917535 FKN917535 FUJ917535 GEF917535 GOB917535 GXX917535 HHT917535 HRP917535 IBL917535 ILH917535 IVD917535 JEZ917535 JOV917535 JYR917535 KIN917535 KSJ917535 LCF917535 LMB917535 LVX917535 MFT917535 MPP917535 MZL917535 NJH917535 NTD917535 OCZ917535 OMV917535 OWR917535 PGN917535 PQJ917535 QAF917535 QKB917535 QTX917535 RDT917535 RNP917535 RXL917535 SHH917535 SRD917535 TAZ917535 TKV917535 TUR917535 UEN917535 UOJ917535 UYF917535 VIB917535 VRX917535 WBT917535 WLP917535 WVL917535 D983071 IZ983071 SV983071 ACR983071 AMN983071 AWJ983071 BGF983071 BQB983071 BZX983071 CJT983071 CTP983071 DDL983071 DNH983071 DXD983071 EGZ983071 EQV983071 FAR983071 FKN983071 FUJ983071 GEF983071 GOB983071 GXX983071 HHT983071 HRP983071 IBL983071 ILH983071 IVD983071 JEZ983071 JOV983071 JYR983071 KIN983071 KSJ983071 LCF983071 LMB983071 LVX983071 MFT983071 MPP983071 MZL983071 NJH983071 NTD983071 OCZ983071 OMV983071 OWR983071 PGN983071 PQJ983071 QAF983071 QKB983071 QTX983071 RDT983071 RNP983071 RXL983071 SHH983071 SRD983071 TAZ983071 TKV983071 TUR983071 UEN983071 UOJ983071 UYF983071 VIB983071 VRX983071 WBT983071 WLP983071 WVL983071">
      <formula1>$M$33:$M$38</formula1>
    </dataValidation>
    <dataValidation type="list" allowBlank="1" showInputMessage="1" showErrorMessage="1" sqref="E10 JA10 SW10 ACS10 AMO10 AWK10 BGG10 BQC10 BZY10 CJU10 CTQ10 DDM10 DNI10 DXE10 EHA10 EQW10 FAS10 FKO10 FUK10 GEG10 GOC10 GXY10 HHU10 HRQ10 IBM10 ILI10 IVE10 JFA10 JOW10 JYS10 KIO10 KSK10 LCG10 LMC10 LVY10 MFU10 MPQ10 MZM10 NJI10 NTE10 ODA10 OMW10 OWS10 PGO10 PQK10 QAG10 QKC10 QTY10 RDU10 RNQ10 RXM10 SHI10 SRE10 TBA10 TKW10 TUS10 UEO10 UOK10 UYG10 VIC10 VRY10 WBU10 WLQ10 WVM10 E65546 JA65546 SW65546 ACS65546 AMO65546 AWK65546 BGG65546 BQC65546 BZY65546 CJU65546 CTQ65546 DDM65546 DNI65546 DXE65546 EHA65546 EQW65546 FAS65546 FKO65546 FUK65546 GEG65546 GOC65546 GXY65546 HHU65546 HRQ65546 IBM65546 ILI65546 IVE65546 JFA65546 JOW65546 JYS65546 KIO65546 KSK65546 LCG65546 LMC65546 LVY65546 MFU65546 MPQ65546 MZM65546 NJI65546 NTE65546 ODA65546 OMW65546 OWS65546 PGO65546 PQK65546 QAG65546 QKC65546 QTY65546 RDU65546 RNQ65546 RXM65546 SHI65546 SRE65546 TBA65546 TKW65546 TUS65546 UEO65546 UOK65546 UYG65546 VIC65546 VRY65546 WBU65546 WLQ65546 WVM65546 E131082 JA131082 SW131082 ACS131082 AMO131082 AWK131082 BGG131082 BQC131082 BZY131082 CJU131082 CTQ131082 DDM131082 DNI131082 DXE131082 EHA131082 EQW131082 FAS131082 FKO131082 FUK131082 GEG131082 GOC131082 GXY131082 HHU131082 HRQ131082 IBM131082 ILI131082 IVE131082 JFA131082 JOW131082 JYS131082 KIO131082 KSK131082 LCG131082 LMC131082 LVY131082 MFU131082 MPQ131082 MZM131082 NJI131082 NTE131082 ODA131082 OMW131082 OWS131082 PGO131082 PQK131082 QAG131082 QKC131082 QTY131082 RDU131082 RNQ131082 RXM131082 SHI131082 SRE131082 TBA131082 TKW131082 TUS131082 UEO131082 UOK131082 UYG131082 VIC131082 VRY131082 WBU131082 WLQ131082 WVM131082 E196618 JA196618 SW196618 ACS196618 AMO196618 AWK196618 BGG196618 BQC196618 BZY196618 CJU196618 CTQ196618 DDM196618 DNI196618 DXE196618 EHA196618 EQW196618 FAS196618 FKO196618 FUK196618 GEG196618 GOC196618 GXY196618 HHU196618 HRQ196618 IBM196618 ILI196618 IVE196618 JFA196618 JOW196618 JYS196618 KIO196618 KSK196618 LCG196618 LMC196618 LVY196618 MFU196618 MPQ196618 MZM196618 NJI196618 NTE196618 ODA196618 OMW196618 OWS196618 PGO196618 PQK196618 QAG196618 QKC196618 QTY196618 RDU196618 RNQ196618 RXM196618 SHI196618 SRE196618 TBA196618 TKW196618 TUS196618 UEO196618 UOK196618 UYG196618 VIC196618 VRY196618 WBU196618 WLQ196618 WVM196618 E262154 JA262154 SW262154 ACS262154 AMO262154 AWK262154 BGG262154 BQC262154 BZY262154 CJU262154 CTQ262154 DDM262154 DNI262154 DXE262154 EHA262154 EQW262154 FAS262154 FKO262154 FUK262154 GEG262154 GOC262154 GXY262154 HHU262154 HRQ262154 IBM262154 ILI262154 IVE262154 JFA262154 JOW262154 JYS262154 KIO262154 KSK262154 LCG262154 LMC262154 LVY262154 MFU262154 MPQ262154 MZM262154 NJI262154 NTE262154 ODA262154 OMW262154 OWS262154 PGO262154 PQK262154 QAG262154 QKC262154 QTY262154 RDU262154 RNQ262154 RXM262154 SHI262154 SRE262154 TBA262154 TKW262154 TUS262154 UEO262154 UOK262154 UYG262154 VIC262154 VRY262154 WBU262154 WLQ262154 WVM262154 E327690 JA327690 SW327690 ACS327690 AMO327690 AWK327690 BGG327690 BQC327690 BZY327690 CJU327690 CTQ327690 DDM327690 DNI327690 DXE327690 EHA327690 EQW327690 FAS327690 FKO327690 FUK327690 GEG327690 GOC327690 GXY327690 HHU327690 HRQ327690 IBM327690 ILI327690 IVE327690 JFA327690 JOW327690 JYS327690 KIO327690 KSK327690 LCG327690 LMC327690 LVY327690 MFU327690 MPQ327690 MZM327690 NJI327690 NTE327690 ODA327690 OMW327690 OWS327690 PGO327690 PQK327690 QAG327690 QKC327690 QTY327690 RDU327690 RNQ327690 RXM327690 SHI327690 SRE327690 TBA327690 TKW327690 TUS327690 UEO327690 UOK327690 UYG327690 VIC327690 VRY327690 WBU327690 WLQ327690 WVM327690 E393226 JA393226 SW393226 ACS393226 AMO393226 AWK393226 BGG393226 BQC393226 BZY393226 CJU393226 CTQ393226 DDM393226 DNI393226 DXE393226 EHA393226 EQW393226 FAS393226 FKO393226 FUK393226 GEG393226 GOC393226 GXY393226 HHU393226 HRQ393226 IBM393226 ILI393226 IVE393226 JFA393226 JOW393226 JYS393226 KIO393226 KSK393226 LCG393226 LMC393226 LVY393226 MFU393226 MPQ393226 MZM393226 NJI393226 NTE393226 ODA393226 OMW393226 OWS393226 PGO393226 PQK393226 QAG393226 QKC393226 QTY393226 RDU393226 RNQ393226 RXM393226 SHI393226 SRE393226 TBA393226 TKW393226 TUS393226 UEO393226 UOK393226 UYG393226 VIC393226 VRY393226 WBU393226 WLQ393226 WVM393226 E458762 JA458762 SW458762 ACS458762 AMO458762 AWK458762 BGG458762 BQC458762 BZY458762 CJU458762 CTQ458762 DDM458762 DNI458762 DXE458762 EHA458762 EQW458762 FAS458762 FKO458762 FUK458762 GEG458762 GOC458762 GXY458762 HHU458762 HRQ458762 IBM458762 ILI458762 IVE458762 JFA458762 JOW458762 JYS458762 KIO458762 KSK458762 LCG458762 LMC458762 LVY458762 MFU458762 MPQ458762 MZM458762 NJI458762 NTE458762 ODA458762 OMW458762 OWS458762 PGO458762 PQK458762 QAG458762 QKC458762 QTY458762 RDU458762 RNQ458762 RXM458762 SHI458762 SRE458762 TBA458762 TKW458762 TUS458762 UEO458762 UOK458762 UYG458762 VIC458762 VRY458762 WBU458762 WLQ458762 WVM458762 E524298 JA524298 SW524298 ACS524298 AMO524298 AWK524298 BGG524298 BQC524298 BZY524298 CJU524298 CTQ524298 DDM524298 DNI524298 DXE524298 EHA524298 EQW524298 FAS524298 FKO524298 FUK524298 GEG524298 GOC524298 GXY524298 HHU524298 HRQ524298 IBM524298 ILI524298 IVE524298 JFA524298 JOW524298 JYS524298 KIO524298 KSK524298 LCG524298 LMC524298 LVY524298 MFU524298 MPQ524298 MZM524298 NJI524298 NTE524298 ODA524298 OMW524298 OWS524298 PGO524298 PQK524298 QAG524298 QKC524298 QTY524298 RDU524298 RNQ524298 RXM524298 SHI524298 SRE524298 TBA524298 TKW524298 TUS524298 UEO524298 UOK524298 UYG524298 VIC524298 VRY524298 WBU524298 WLQ524298 WVM524298 E589834 JA589834 SW589834 ACS589834 AMO589834 AWK589834 BGG589834 BQC589834 BZY589834 CJU589834 CTQ589834 DDM589834 DNI589834 DXE589834 EHA589834 EQW589834 FAS589834 FKO589834 FUK589834 GEG589834 GOC589834 GXY589834 HHU589834 HRQ589834 IBM589834 ILI589834 IVE589834 JFA589834 JOW589834 JYS589834 KIO589834 KSK589834 LCG589834 LMC589834 LVY589834 MFU589834 MPQ589834 MZM589834 NJI589834 NTE589834 ODA589834 OMW589834 OWS589834 PGO589834 PQK589834 QAG589834 QKC589834 QTY589834 RDU589834 RNQ589834 RXM589834 SHI589834 SRE589834 TBA589834 TKW589834 TUS589834 UEO589834 UOK589834 UYG589834 VIC589834 VRY589834 WBU589834 WLQ589834 WVM589834 E655370 JA655370 SW655370 ACS655370 AMO655370 AWK655370 BGG655370 BQC655370 BZY655370 CJU655370 CTQ655370 DDM655370 DNI655370 DXE655370 EHA655370 EQW655370 FAS655370 FKO655370 FUK655370 GEG655370 GOC655370 GXY655370 HHU655370 HRQ655370 IBM655370 ILI655370 IVE655370 JFA655370 JOW655370 JYS655370 KIO655370 KSK655370 LCG655370 LMC655370 LVY655370 MFU655370 MPQ655370 MZM655370 NJI655370 NTE655370 ODA655370 OMW655370 OWS655370 PGO655370 PQK655370 QAG655370 QKC655370 QTY655370 RDU655370 RNQ655370 RXM655370 SHI655370 SRE655370 TBA655370 TKW655370 TUS655370 UEO655370 UOK655370 UYG655370 VIC655370 VRY655370 WBU655370 WLQ655370 WVM655370 E720906 JA720906 SW720906 ACS720906 AMO720906 AWK720906 BGG720906 BQC720906 BZY720906 CJU720906 CTQ720906 DDM720906 DNI720906 DXE720906 EHA720906 EQW720906 FAS720906 FKO720906 FUK720906 GEG720906 GOC720906 GXY720906 HHU720906 HRQ720906 IBM720906 ILI720906 IVE720906 JFA720906 JOW720906 JYS720906 KIO720906 KSK720906 LCG720906 LMC720906 LVY720906 MFU720906 MPQ720906 MZM720906 NJI720906 NTE720906 ODA720906 OMW720906 OWS720906 PGO720906 PQK720906 QAG720906 QKC720906 QTY720906 RDU720906 RNQ720906 RXM720906 SHI720906 SRE720906 TBA720906 TKW720906 TUS720906 UEO720906 UOK720906 UYG720906 VIC720906 VRY720906 WBU720906 WLQ720906 WVM720906 E786442 JA786442 SW786442 ACS786442 AMO786442 AWK786442 BGG786442 BQC786442 BZY786442 CJU786442 CTQ786442 DDM786442 DNI786442 DXE786442 EHA786442 EQW786442 FAS786442 FKO786442 FUK786442 GEG786442 GOC786442 GXY786442 HHU786442 HRQ786442 IBM786442 ILI786442 IVE786442 JFA786442 JOW786442 JYS786442 KIO786442 KSK786442 LCG786442 LMC786442 LVY786442 MFU786442 MPQ786442 MZM786442 NJI786442 NTE786442 ODA786442 OMW786442 OWS786442 PGO786442 PQK786442 QAG786442 QKC786442 QTY786442 RDU786442 RNQ786442 RXM786442 SHI786442 SRE786442 TBA786442 TKW786442 TUS786442 UEO786442 UOK786442 UYG786442 VIC786442 VRY786442 WBU786442 WLQ786442 WVM786442 E851978 JA851978 SW851978 ACS851978 AMO851978 AWK851978 BGG851978 BQC851978 BZY851978 CJU851978 CTQ851978 DDM851978 DNI851978 DXE851978 EHA851978 EQW851978 FAS851978 FKO851978 FUK851978 GEG851978 GOC851978 GXY851978 HHU851978 HRQ851978 IBM851978 ILI851978 IVE851978 JFA851978 JOW851978 JYS851978 KIO851978 KSK851978 LCG851978 LMC851978 LVY851978 MFU851978 MPQ851978 MZM851978 NJI851978 NTE851978 ODA851978 OMW851978 OWS851978 PGO851978 PQK851978 QAG851978 QKC851978 QTY851978 RDU851978 RNQ851978 RXM851978 SHI851978 SRE851978 TBA851978 TKW851978 TUS851978 UEO851978 UOK851978 UYG851978 VIC851978 VRY851978 WBU851978 WLQ851978 WVM851978 E917514 JA917514 SW917514 ACS917514 AMO917514 AWK917514 BGG917514 BQC917514 BZY917514 CJU917514 CTQ917514 DDM917514 DNI917514 DXE917514 EHA917514 EQW917514 FAS917514 FKO917514 FUK917514 GEG917514 GOC917514 GXY917514 HHU917514 HRQ917514 IBM917514 ILI917514 IVE917514 JFA917514 JOW917514 JYS917514 KIO917514 KSK917514 LCG917514 LMC917514 LVY917514 MFU917514 MPQ917514 MZM917514 NJI917514 NTE917514 ODA917514 OMW917514 OWS917514 PGO917514 PQK917514 QAG917514 QKC917514 QTY917514 RDU917514 RNQ917514 RXM917514 SHI917514 SRE917514 TBA917514 TKW917514 TUS917514 UEO917514 UOK917514 UYG917514 VIC917514 VRY917514 WBU917514 WLQ917514 WVM917514 E983050 JA983050 SW983050 ACS983050 AMO983050 AWK983050 BGG983050 BQC983050 BZY983050 CJU983050 CTQ983050 DDM983050 DNI983050 DXE983050 EHA983050 EQW983050 FAS983050 FKO983050 FUK983050 GEG983050 GOC983050 GXY983050 HHU983050 HRQ983050 IBM983050 ILI983050 IVE983050 JFA983050 JOW983050 JYS983050 KIO983050 KSK983050 LCG983050 LMC983050 LVY983050 MFU983050 MPQ983050 MZM983050 NJI983050 NTE983050 ODA983050 OMW983050 OWS983050 PGO983050 PQK983050 QAG983050 QKC983050 QTY983050 RDU983050 RNQ983050 RXM983050 SHI983050 SRE983050 TBA983050 TKW983050 TUS983050 UEO983050 UOK983050 UYG983050 VIC983050 VRY983050 WBU983050 WLQ983050 WVM983050">
      <formula1>ENCARGOS</formula1>
    </dataValidation>
    <dataValidation type="list" allowBlank="1" showInputMessage="1" showErrorMessage="1" sqref="E22 JA22 SW22 ACS22 AMO22 AWK22 BGG22 BQC22 BZY22 CJU22 CTQ22 DDM22 DNI22 DXE22 EHA22 EQW22 FAS22 FKO22 FUK22 GEG22 GOC22 GXY22 HHU22 HRQ22 IBM22 ILI22 IVE22 JFA22 JOW22 JYS22 KIO22 KSK22 LCG22 LMC22 LVY22 MFU22 MPQ22 MZM22 NJI22 NTE22 ODA22 OMW22 OWS22 PGO22 PQK22 QAG22 QKC22 QTY22 RDU22 RNQ22 RXM22 SHI22 SRE22 TBA22 TKW22 TUS22 UEO22 UOK22 UYG22 VIC22 VRY22 WBU22 WLQ22 WVM22 E65558 JA65558 SW65558 ACS65558 AMO65558 AWK65558 BGG65558 BQC65558 BZY65558 CJU65558 CTQ65558 DDM65558 DNI65558 DXE65558 EHA65558 EQW65558 FAS65558 FKO65558 FUK65558 GEG65558 GOC65558 GXY65558 HHU65558 HRQ65558 IBM65558 ILI65558 IVE65558 JFA65558 JOW65558 JYS65558 KIO65558 KSK65558 LCG65558 LMC65558 LVY65558 MFU65558 MPQ65558 MZM65558 NJI65558 NTE65558 ODA65558 OMW65558 OWS65558 PGO65558 PQK65558 QAG65558 QKC65558 QTY65558 RDU65558 RNQ65558 RXM65558 SHI65558 SRE65558 TBA65558 TKW65558 TUS65558 UEO65558 UOK65558 UYG65558 VIC65558 VRY65558 WBU65558 WLQ65558 WVM65558 E131094 JA131094 SW131094 ACS131094 AMO131094 AWK131094 BGG131094 BQC131094 BZY131094 CJU131094 CTQ131094 DDM131094 DNI131094 DXE131094 EHA131094 EQW131094 FAS131094 FKO131094 FUK131094 GEG131094 GOC131094 GXY131094 HHU131094 HRQ131094 IBM131094 ILI131094 IVE131094 JFA131094 JOW131094 JYS131094 KIO131094 KSK131094 LCG131094 LMC131094 LVY131094 MFU131094 MPQ131094 MZM131094 NJI131094 NTE131094 ODA131094 OMW131094 OWS131094 PGO131094 PQK131094 QAG131094 QKC131094 QTY131094 RDU131094 RNQ131094 RXM131094 SHI131094 SRE131094 TBA131094 TKW131094 TUS131094 UEO131094 UOK131094 UYG131094 VIC131094 VRY131094 WBU131094 WLQ131094 WVM131094 E196630 JA196630 SW196630 ACS196630 AMO196630 AWK196630 BGG196630 BQC196630 BZY196630 CJU196630 CTQ196630 DDM196630 DNI196630 DXE196630 EHA196630 EQW196630 FAS196630 FKO196630 FUK196630 GEG196630 GOC196630 GXY196630 HHU196630 HRQ196630 IBM196630 ILI196630 IVE196630 JFA196630 JOW196630 JYS196630 KIO196630 KSK196630 LCG196630 LMC196630 LVY196630 MFU196630 MPQ196630 MZM196630 NJI196630 NTE196630 ODA196630 OMW196630 OWS196630 PGO196630 PQK196630 QAG196630 QKC196630 QTY196630 RDU196630 RNQ196630 RXM196630 SHI196630 SRE196630 TBA196630 TKW196630 TUS196630 UEO196630 UOK196630 UYG196630 VIC196630 VRY196630 WBU196630 WLQ196630 WVM196630 E262166 JA262166 SW262166 ACS262166 AMO262166 AWK262166 BGG262166 BQC262166 BZY262166 CJU262166 CTQ262166 DDM262166 DNI262166 DXE262166 EHA262166 EQW262166 FAS262166 FKO262166 FUK262166 GEG262166 GOC262166 GXY262166 HHU262166 HRQ262166 IBM262166 ILI262166 IVE262166 JFA262166 JOW262166 JYS262166 KIO262166 KSK262166 LCG262166 LMC262166 LVY262166 MFU262166 MPQ262166 MZM262166 NJI262166 NTE262166 ODA262166 OMW262166 OWS262166 PGO262166 PQK262166 QAG262166 QKC262166 QTY262166 RDU262166 RNQ262166 RXM262166 SHI262166 SRE262166 TBA262166 TKW262166 TUS262166 UEO262166 UOK262166 UYG262166 VIC262166 VRY262166 WBU262166 WLQ262166 WVM262166 E327702 JA327702 SW327702 ACS327702 AMO327702 AWK327702 BGG327702 BQC327702 BZY327702 CJU327702 CTQ327702 DDM327702 DNI327702 DXE327702 EHA327702 EQW327702 FAS327702 FKO327702 FUK327702 GEG327702 GOC327702 GXY327702 HHU327702 HRQ327702 IBM327702 ILI327702 IVE327702 JFA327702 JOW327702 JYS327702 KIO327702 KSK327702 LCG327702 LMC327702 LVY327702 MFU327702 MPQ327702 MZM327702 NJI327702 NTE327702 ODA327702 OMW327702 OWS327702 PGO327702 PQK327702 QAG327702 QKC327702 QTY327702 RDU327702 RNQ327702 RXM327702 SHI327702 SRE327702 TBA327702 TKW327702 TUS327702 UEO327702 UOK327702 UYG327702 VIC327702 VRY327702 WBU327702 WLQ327702 WVM327702 E393238 JA393238 SW393238 ACS393238 AMO393238 AWK393238 BGG393238 BQC393238 BZY393238 CJU393238 CTQ393238 DDM393238 DNI393238 DXE393238 EHA393238 EQW393238 FAS393238 FKO393238 FUK393238 GEG393238 GOC393238 GXY393238 HHU393238 HRQ393238 IBM393238 ILI393238 IVE393238 JFA393238 JOW393238 JYS393238 KIO393238 KSK393238 LCG393238 LMC393238 LVY393238 MFU393238 MPQ393238 MZM393238 NJI393238 NTE393238 ODA393238 OMW393238 OWS393238 PGO393238 PQK393238 QAG393238 QKC393238 QTY393238 RDU393238 RNQ393238 RXM393238 SHI393238 SRE393238 TBA393238 TKW393238 TUS393238 UEO393238 UOK393238 UYG393238 VIC393238 VRY393238 WBU393238 WLQ393238 WVM393238 E458774 JA458774 SW458774 ACS458774 AMO458774 AWK458774 BGG458774 BQC458774 BZY458774 CJU458774 CTQ458774 DDM458774 DNI458774 DXE458774 EHA458774 EQW458774 FAS458774 FKO458774 FUK458774 GEG458774 GOC458774 GXY458774 HHU458774 HRQ458774 IBM458774 ILI458774 IVE458774 JFA458774 JOW458774 JYS458774 KIO458774 KSK458774 LCG458774 LMC458774 LVY458774 MFU458774 MPQ458774 MZM458774 NJI458774 NTE458774 ODA458774 OMW458774 OWS458774 PGO458774 PQK458774 QAG458774 QKC458774 QTY458774 RDU458774 RNQ458774 RXM458774 SHI458774 SRE458774 TBA458774 TKW458774 TUS458774 UEO458774 UOK458774 UYG458774 VIC458774 VRY458774 WBU458774 WLQ458774 WVM458774 E524310 JA524310 SW524310 ACS524310 AMO524310 AWK524310 BGG524310 BQC524310 BZY524310 CJU524310 CTQ524310 DDM524310 DNI524310 DXE524310 EHA524310 EQW524310 FAS524310 FKO524310 FUK524310 GEG524310 GOC524310 GXY524310 HHU524310 HRQ524310 IBM524310 ILI524310 IVE524310 JFA524310 JOW524310 JYS524310 KIO524310 KSK524310 LCG524310 LMC524310 LVY524310 MFU524310 MPQ524310 MZM524310 NJI524310 NTE524310 ODA524310 OMW524310 OWS524310 PGO524310 PQK524310 QAG524310 QKC524310 QTY524310 RDU524310 RNQ524310 RXM524310 SHI524310 SRE524310 TBA524310 TKW524310 TUS524310 UEO524310 UOK524310 UYG524310 VIC524310 VRY524310 WBU524310 WLQ524310 WVM524310 E589846 JA589846 SW589846 ACS589846 AMO589846 AWK589846 BGG589846 BQC589846 BZY589846 CJU589846 CTQ589846 DDM589846 DNI589846 DXE589846 EHA589846 EQW589846 FAS589846 FKO589846 FUK589846 GEG589846 GOC589846 GXY589846 HHU589846 HRQ589846 IBM589846 ILI589846 IVE589846 JFA589846 JOW589846 JYS589846 KIO589846 KSK589846 LCG589846 LMC589846 LVY589846 MFU589846 MPQ589846 MZM589846 NJI589846 NTE589846 ODA589846 OMW589846 OWS589846 PGO589846 PQK589846 QAG589846 QKC589846 QTY589846 RDU589846 RNQ589846 RXM589846 SHI589846 SRE589846 TBA589846 TKW589846 TUS589846 UEO589846 UOK589846 UYG589846 VIC589846 VRY589846 WBU589846 WLQ589846 WVM589846 E655382 JA655382 SW655382 ACS655382 AMO655382 AWK655382 BGG655382 BQC655382 BZY655382 CJU655382 CTQ655382 DDM655382 DNI655382 DXE655382 EHA655382 EQW655382 FAS655382 FKO655382 FUK655382 GEG655382 GOC655382 GXY655382 HHU655382 HRQ655382 IBM655382 ILI655382 IVE655382 JFA655382 JOW655382 JYS655382 KIO655382 KSK655382 LCG655382 LMC655382 LVY655382 MFU655382 MPQ655382 MZM655382 NJI655382 NTE655382 ODA655382 OMW655382 OWS655382 PGO655382 PQK655382 QAG655382 QKC655382 QTY655382 RDU655382 RNQ655382 RXM655382 SHI655382 SRE655382 TBA655382 TKW655382 TUS655382 UEO655382 UOK655382 UYG655382 VIC655382 VRY655382 WBU655382 WLQ655382 WVM655382 E720918 JA720918 SW720918 ACS720918 AMO720918 AWK720918 BGG720918 BQC720918 BZY720918 CJU720918 CTQ720918 DDM720918 DNI720918 DXE720918 EHA720918 EQW720918 FAS720918 FKO720918 FUK720918 GEG720918 GOC720918 GXY720918 HHU720918 HRQ720918 IBM720918 ILI720918 IVE720918 JFA720918 JOW720918 JYS720918 KIO720918 KSK720918 LCG720918 LMC720918 LVY720918 MFU720918 MPQ720918 MZM720918 NJI720918 NTE720918 ODA720918 OMW720918 OWS720918 PGO720918 PQK720918 QAG720918 QKC720918 QTY720918 RDU720918 RNQ720918 RXM720918 SHI720918 SRE720918 TBA720918 TKW720918 TUS720918 UEO720918 UOK720918 UYG720918 VIC720918 VRY720918 WBU720918 WLQ720918 WVM720918 E786454 JA786454 SW786454 ACS786454 AMO786454 AWK786454 BGG786454 BQC786454 BZY786454 CJU786454 CTQ786454 DDM786454 DNI786454 DXE786454 EHA786454 EQW786454 FAS786454 FKO786454 FUK786454 GEG786454 GOC786454 GXY786454 HHU786454 HRQ786454 IBM786454 ILI786454 IVE786454 JFA786454 JOW786454 JYS786454 KIO786454 KSK786454 LCG786454 LMC786454 LVY786454 MFU786454 MPQ786454 MZM786454 NJI786454 NTE786454 ODA786454 OMW786454 OWS786454 PGO786454 PQK786454 QAG786454 QKC786454 QTY786454 RDU786454 RNQ786454 RXM786454 SHI786454 SRE786454 TBA786454 TKW786454 TUS786454 UEO786454 UOK786454 UYG786454 VIC786454 VRY786454 WBU786454 WLQ786454 WVM786454 E851990 JA851990 SW851990 ACS851990 AMO851990 AWK851990 BGG851990 BQC851990 BZY851990 CJU851990 CTQ851990 DDM851990 DNI851990 DXE851990 EHA851990 EQW851990 FAS851990 FKO851990 FUK851990 GEG851990 GOC851990 GXY851990 HHU851990 HRQ851990 IBM851990 ILI851990 IVE851990 JFA851990 JOW851990 JYS851990 KIO851990 KSK851990 LCG851990 LMC851990 LVY851990 MFU851990 MPQ851990 MZM851990 NJI851990 NTE851990 ODA851990 OMW851990 OWS851990 PGO851990 PQK851990 QAG851990 QKC851990 QTY851990 RDU851990 RNQ851990 RXM851990 SHI851990 SRE851990 TBA851990 TKW851990 TUS851990 UEO851990 UOK851990 UYG851990 VIC851990 VRY851990 WBU851990 WLQ851990 WVM851990 E917526 JA917526 SW917526 ACS917526 AMO917526 AWK917526 BGG917526 BQC917526 BZY917526 CJU917526 CTQ917526 DDM917526 DNI917526 DXE917526 EHA917526 EQW917526 FAS917526 FKO917526 FUK917526 GEG917526 GOC917526 GXY917526 HHU917526 HRQ917526 IBM917526 ILI917526 IVE917526 JFA917526 JOW917526 JYS917526 KIO917526 KSK917526 LCG917526 LMC917526 LVY917526 MFU917526 MPQ917526 MZM917526 NJI917526 NTE917526 ODA917526 OMW917526 OWS917526 PGO917526 PQK917526 QAG917526 QKC917526 QTY917526 RDU917526 RNQ917526 RXM917526 SHI917526 SRE917526 TBA917526 TKW917526 TUS917526 UEO917526 UOK917526 UYG917526 VIC917526 VRY917526 WBU917526 WLQ917526 WVM917526 E983062 JA983062 SW983062 ACS983062 AMO983062 AWK983062 BGG983062 BQC983062 BZY983062 CJU983062 CTQ983062 DDM983062 DNI983062 DXE983062 EHA983062 EQW983062 FAS983062 FKO983062 FUK983062 GEG983062 GOC983062 GXY983062 HHU983062 HRQ983062 IBM983062 ILI983062 IVE983062 JFA983062 JOW983062 JYS983062 KIO983062 KSK983062 LCG983062 LMC983062 LVY983062 MFU983062 MPQ983062 MZM983062 NJI983062 NTE983062 ODA983062 OMW983062 OWS983062 PGO983062 PQK983062 QAG983062 QKC983062 QTY983062 RDU983062 RNQ983062 RXM983062 SHI983062 SRE983062 TBA983062 TKW983062 TUS983062 UEO983062 UOK983062 UYG983062 VIC983062 VRY983062 WBU983062 WLQ983062 WVM983062">
      <formula1>BASEDECALCULO</formula1>
    </dataValidation>
    <dataValidation type="list" allowBlank="1" showInputMessage="1" showErrorMessage="1" sqref="B14:D15 IX14:IZ15 ST14:SV15 ACP14:ACR15 AML14:AMN15 AWH14:AWJ15 BGD14:BGF15 BPZ14:BQB15 BZV14:BZX15 CJR14:CJT15 CTN14:CTP15 DDJ14:DDL15 DNF14:DNH15 DXB14:DXD15 EGX14:EGZ15 EQT14:EQV15 FAP14:FAR15 FKL14:FKN15 FUH14:FUJ15 GED14:GEF15 GNZ14:GOB15 GXV14:GXX15 HHR14:HHT15 HRN14:HRP15 IBJ14:IBL15 ILF14:ILH15 IVB14:IVD15 JEX14:JEZ15 JOT14:JOV15 JYP14:JYR15 KIL14:KIN15 KSH14:KSJ15 LCD14:LCF15 LLZ14:LMB15 LVV14:LVX15 MFR14:MFT15 MPN14:MPP15 MZJ14:MZL15 NJF14:NJH15 NTB14:NTD15 OCX14:OCZ15 OMT14:OMV15 OWP14:OWR15 PGL14:PGN15 PQH14:PQJ15 QAD14:QAF15 QJZ14:QKB15 QTV14:QTX15 RDR14:RDT15 RNN14:RNP15 RXJ14:RXL15 SHF14:SHH15 SRB14:SRD15 TAX14:TAZ15 TKT14:TKV15 TUP14:TUR15 UEL14:UEN15 UOH14:UOJ15 UYD14:UYF15 VHZ14:VIB15 VRV14:VRX15 WBR14:WBT15 WLN14:WLP15 WVJ14:WVL15 B65550:D65551 IX65550:IZ65551 ST65550:SV65551 ACP65550:ACR65551 AML65550:AMN65551 AWH65550:AWJ65551 BGD65550:BGF65551 BPZ65550:BQB65551 BZV65550:BZX65551 CJR65550:CJT65551 CTN65550:CTP65551 DDJ65550:DDL65551 DNF65550:DNH65551 DXB65550:DXD65551 EGX65550:EGZ65551 EQT65550:EQV65551 FAP65550:FAR65551 FKL65550:FKN65551 FUH65550:FUJ65551 GED65550:GEF65551 GNZ65550:GOB65551 GXV65550:GXX65551 HHR65550:HHT65551 HRN65550:HRP65551 IBJ65550:IBL65551 ILF65550:ILH65551 IVB65550:IVD65551 JEX65550:JEZ65551 JOT65550:JOV65551 JYP65550:JYR65551 KIL65550:KIN65551 KSH65550:KSJ65551 LCD65550:LCF65551 LLZ65550:LMB65551 LVV65550:LVX65551 MFR65550:MFT65551 MPN65550:MPP65551 MZJ65550:MZL65551 NJF65550:NJH65551 NTB65550:NTD65551 OCX65550:OCZ65551 OMT65550:OMV65551 OWP65550:OWR65551 PGL65550:PGN65551 PQH65550:PQJ65551 QAD65550:QAF65551 QJZ65550:QKB65551 QTV65550:QTX65551 RDR65550:RDT65551 RNN65550:RNP65551 RXJ65550:RXL65551 SHF65550:SHH65551 SRB65550:SRD65551 TAX65550:TAZ65551 TKT65550:TKV65551 TUP65550:TUR65551 UEL65550:UEN65551 UOH65550:UOJ65551 UYD65550:UYF65551 VHZ65550:VIB65551 VRV65550:VRX65551 WBR65550:WBT65551 WLN65550:WLP65551 WVJ65550:WVL65551 B131086:D131087 IX131086:IZ131087 ST131086:SV131087 ACP131086:ACR131087 AML131086:AMN131087 AWH131086:AWJ131087 BGD131086:BGF131087 BPZ131086:BQB131087 BZV131086:BZX131087 CJR131086:CJT131087 CTN131086:CTP131087 DDJ131086:DDL131087 DNF131086:DNH131087 DXB131086:DXD131087 EGX131086:EGZ131087 EQT131086:EQV131087 FAP131086:FAR131087 FKL131086:FKN131087 FUH131086:FUJ131087 GED131086:GEF131087 GNZ131086:GOB131087 GXV131086:GXX131087 HHR131086:HHT131087 HRN131086:HRP131087 IBJ131086:IBL131087 ILF131086:ILH131087 IVB131086:IVD131087 JEX131086:JEZ131087 JOT131086:JOV131087 JYP131086:JYR131087 KIL131086:KIN131087 KSH131086:KSJ131087 LCD131086:LCF131087 LLZ131086:LMB131087 LVV131086:LVX131087 MFR131086:MFT131087 MPN131086:MPP131087 MZJ131086:MZL131087 NJF131086:NJH131087 NTB131086:NTD131087 OCX131086:OCZ131087 OMT131086:OMV131087 OWP131086:OWR131087 PGL131086:PGN131087 PQH131086:PQJ131087 QAD131086:QAF131087 QJZ131086:QKB131087 QTV131086:QTX131087 RDR131086:RDT131087 RNN131086:RNP131087 RXJ131086:RXL131087 SHF131086:SHH131087 SRB131086:SRD131087 TAX131086:TAZ131087 TKT131086:TKV131087 TUP131086:TUR131087 UEL131086:UEN131087 UOH131086:UOJ131087 UYD131086:UYF131087 VHZ131086:VIB131087 VRV131086:VRX131087 WBR131086:WBT131087 WLN131086:WLP131087 WVJ131086:WVL131087 B196622:D196623 IX196622:IZ196623 ST196622:SV196623 ACP196622:ACR196623 AML196622:AMN196623 AWH196622:AWJ196623 BGD196622:BGF196623 BPZ196622:BQB196623 BZV196622:BZX196623 CJR196622:CJT196623 CTN196622:CTP196623 DDJ196622:DDL196623 DNF196622:DNH196623 DXB196622:DXD196623 EGX196622:EGZ196623 EQT196622:EQV196623 FAP196622:FAR196623 FKL196622:FKN196623 FUH196622:FUJ196623 GED196622:GEF196623 GNZ196622:GOB196623 GXV196622:GXX196623 HHR196622:HHT196623 HRN196622:HRP196623 IBJ196622:IBL196623 ILF196622:ILH196623 IVB196622:IVD196623 JEX196622:JEZ196623 JOT196622:JOV196623 JYP196622:JYR196623 KIL196622:KIN196623 KSH196622:KSJ196623 LCD196622:LCF196623 LLZ196622:LMB196623 LVV196622:LVX196623 MFR196622:MFT196623 MPN196622:MPP196623 MZJ196622:MZL196623 NJF196622:NJH196623 NTB196622:NTD196623 OCX196622:OCZ196623 OMT196622:OMV196623 OWP196622:OWR196623 PGL196622:PGN196623 PQH196622:PQJ196623 QAD196622:QAF196623 QJZ196622:QKB196623 QTV196622:QTX196623 RDR196622:RDT196623 RNN196622:RNP196623 RXJ196622:RXL196623 SHF196622:SHH196623 SRB196622:SRD196623 TAX196622:TAZ196623 TKT196622:TKV196623 TUP196622:TUR196623 UEL196622:UEN196623 UOH196622:UOJ196623 UYD196622:UYF196623 VHZ196622:VIB196623 VRV196622:VRX196623 WBR196622:WBT196623 WLN196622:WLP196623 WVJ196622:WVL196623 B262158:D262159 IX262158:IZ262159 ST262158:SV262159 ACP262158:ACR262159 AML262158:AMN262159 AWH262158:AWJ262159 BGD262158:BGF262159 BPZ262158:BQB262159 BZV262158:BZX262159 CJR262158:CJT262159 CTN262158:CTP262159 DDJ262158:DDL262159 DNF262158:DNH262159 DXB262158:DXD262159 EGX262158:EGZ262159 EQT262158:EQV262159 FAP262158:FAR262159 FKL262158:FKN262159 FUH262158:FUJ262159 GED262158:GEF262159 GNZ262158:GOB262159 GXV262158:GXX262159 HHR262158:HHT262159 HRN262158:HRP262159 IBJ262158:IBL262159 ILF262158:ILH262159 IVB262158:IVD262159 JEX262158:JEZ262159 JOT262158:JOV262159 JYP262158:JYR262159 KIL262158:KIN262159 KSH262158:KSJ262159 LCD262158:LCF262159 LLZ262158:LMB262159 LVV262158:LVX262159 MFR262158:MFT262159 MPN262158:MPP262159 MZJ262158:MZL262159 NJF262158:NJH262159 NTB262158:NTD262159 OCX262158:OCZ262159 OMT262158:OMV262159 OWP262158:OWR262159 PGL262158:PGN262159 PQH262158:PQJ262159 QAD262158:QAF262159 QJZ262158:QKB262159 QTV262158:QTX262159 RDR262158:RDT262159 RNN262158:RNP262159 RXJ262158:RXL262159 SHF262158:SHH262159 SRB262158:SRD262159 TAX262158:TAZ262159 TKT262158:TKV262159 TUP262158:TUR262159 UEL262158:UEN262159 UOH262158:UOJ262159 UYD262158:UYF262159 VHZ262158:VIB262159 VRV262158:VRX262159 WBR262158:WBT262159 WLN262158:WLP262159 WVJ262158:WVL262159 B327694:D327695 IX327694:IZ327695 ST327694:SV327695 ACP327694:ACR327695 AML327694:AMN327695 AWH327694:AWJ327695 BGD327694:BGF327695 BPZ327694:BQB327695 BZV327694:BZX327695 CJR327694:CJT327695 CTN327694:CTP327695 DDJ327694:DDL327695 DNF327694:DNH327695 DXB327694:DXD327695 EGX327694:EGZ327695 EQT327694:EQV327695 FAP327694:FAR327695 FKL327694:FKN327695 FUH327694:FUJ327695 GED327694:GEF327695 GNZ327694:GOB327695 GXV327694:GXX327695 HHR327694:HHT327695 HRN327694:HRP327695 IBJ327694:IBL327695 ILF327694:ILH327695 IVB327694:IVD327695 JEX327694:JEZ327695 JOT327694:JOV327695 JYP327694:JYR327695 KIL327694:KIN327695 KSH327694:KSJ327695 LCD327694:LCF327695 LLZ327694:LMB327695 LVV327694:LVX327695 MFR327694:MFT327695 MPN327694:MPP327695 MZJ327694:MZL327695 NJF327694:NJH327695 NTB327694:NTD327695 OCX327694:OCZ327695 OMT327694:OMV327695 OWP327694:OWR327695 PGL327694:PGN327695 PQH327694:PQJ327695 QAD327694:QAF327695 QJZ327694:QKB327695 QTV327694:QTX327695 RDR327694:RDT327695 RNN327694:RNP327695 RXJ327694:RXL327695 SHF327694:SHH327695 SRB327694:SRD327695 TAX327694:TAZ327695 TKT327694:TKV327695 TUP327694:TUR327695 UEL327694:UEN327695 UOH327694:UOJ327695 UYD327694:UYF327695 VHZ327694:VIB327695 VRV327694:VRX327695 WBR327694:WBT327695 WLN327694:WLP327695 WVJ327694:WVL327695 B393230:D393231 IX393230:IZ393231 ST393230:SV393231 ACP393230:ACR393231 AML393230:AMN393231 AWH393230:AWJ393231 BGD393230:BGF393231 BPZ393230:BQB393231 BZV393230:BZX393231 CJR393230:CJT393231 CTN393230:CTP393231 DDJ393230:DDL393231 DNF393230:DNH393231 DXB393230:DXD393231 EGX393230:EGZ393231 EQT393230:EQV393231 FAP393230:FAR393231 FKL393230:FKN393231 FUH393230:FUJ393231 GED393230:GEF393231 GNZ393230:GOB393231 GXV393230:GXX393231 HHR393230:HHT393231 HRN393230:HRP393231 IBJ393230:IBL393231 ILF393230:ILH393231 IVB393230:IVD393231 JEX393230:JEZ393231 JOT393230:JOV393231 JYP393230:JYR393231 KIL393230:KIN393231 KSH393230:KSJ393231 LCD393230:LCF393231 LLZ393230:LMB393231 LVV393230:LVX393231 MFR393230:MFT393231 MPN393230:MPP393231 MZJ393230:MZL393231 NJF393230:NJH393231 NTB393230:NTD393231 OCX393230:OCZ393231 OMT393230:OMV393231 OWP393230:OWR393231 PGL393230:PGN393231 PQH393230:PQJ393231 QAD393230:QAF393231 QJZ393230:QKB393231 QTV393230:QTX393231 RDR393230:RDT393231 RNN393230:RNP393231 RXJ393230:RXL393231 SHF393230:SHH393231 SRB393230:SRD393231 TAX393230:TAZ393231 TKT393230:TKV393231 TUP393230:TUR393231 UEL393230:UEN393231 UOH393230:UOJ393231 UYD393230:UYF393231 VHZ393230:VIB393231 VRV393230:VRX393231 WBR393230:WBT393231 WLN393230:WLP393231 WVJ393230:WVL393231 B458766:D458767 IX458766:IZ458767 ST458766:SV458767 ACP458766:ACR458767 AML458766:AMN458767 AWH458766:AWJ458767 BGD458766:BGF458767 BPZ458766:BQB458767 BZV458766:BZX458767 CJR458766:CJT458767 CTN458766:CTP458767 DDJ458766:DDL458767 DNF458766:DNH458767 DXB458766:DXD458767 EGX458766:EGZ458767 EQT458766:EQV458767 FAP458766:FAR458767 FKL458766:FKN458767 FUH458766:FUJ458767 GED458766:GEF458767 GNZ458766:GOB458767 GXV458766:GXX458767 HHR458766:HHT458767 HRN458766:HRP458767 IBJ458766:IBL458767 ILF458766:ILH458767 IVB458766:IVD458767 JEX458766:JEZ458767 JOT458766:JOV458767 JYP458766:JYR458767 KIL458766:KIN458767 KSH458766:KSJ458767 LCD458766:LCF458767 LLZ458766:LMB458767 LVV458766:LVX458767 MFR458766:MFT458767 MPN458766:MPP458767 MZJ458766:MZL458767 NJF458766:NJH458767 NTB458766:NTD458767 OCX458766:OCZ458767 OMT458766:OMV458767 OWP458766:OWR458767 PGL458766:PGN458767 PQH458766:PQJ458767 QAD458766:QAF458767 QJZ458766:QKB458767 QTV458766:QTX458767 RDR458766:RDT458767 RNN458766:RNP458767 RXJ458766:RXL458767 SHF458766:SHH458767 SRB458766:SRD458767 TAX458766:TAZ458767 TKT458766:TKV458767 TUP458766:TUR458767 UEL458766:UEN458767 UOH458766:UOJ458767 UYD458766:UYF458767 VHZ458766:VIB458767 VRV458766:VRX458767 WBR458766:WBT458767 WLN458766:WLP458767 WVJ458766:WVL458767 B524302:D524303 IX524302:IZ524303 ST524302:SV524303 ACP524302:ACR524303 AML524302:AMN524303 AWH524302:AWJ524303 BGD524302:BGF524303 BPZ524302:BQB524303 BZV524302:BZX524303 CJR524302:CJT524303 CTN524302:CTP524303 DDJ524302:DDL524303 DNF524302:DNH524303 DXB524302:DXD524303 EGX524302:EGZ524303 EQT524302:EQV524303 FAP524302:FAR524303 FKL524302:FKN524303 FUH524302:FUJ524303 GED524302:GEF524303 GNZ524302:GOB524303 GXV524302:GXX524303 HHR524302:HHT524303 HRN524302:HRP524303 IBJ524302:IBL524303 ILF524302:ILH524303 IVB524302:IVD524303 JEX524302:JEZ524303 JOT524302:JOV524303 JYP524302:JYR524303 KIL524302:KIN524303 KSH524302:KSJ524303 LCD524302:LCF524303 LLZ524302:LMB524303 LVV524302:LVX524303 MFR524302:MFT524303 MPN524302:MPP524303 MZJ524302:MZL524303 NJF524302:NJH524303 NTB524302:NTD524303 OCX524302:OCZ524303 OMT524302:OMV524303 OWP524302:OWR524303 PGL524302:PGN524303 PQH524302:PQJ524303 QAD524302:QAF524303 QJZ524302:QKB524303 QTV524302:QTX524303 RDR524302:RDT524303 RNN524302:RNP524303 RXJ524302:RXL524303 SHF524302:SHH524303 SRB524302:SRD524303 TAX524302:TAZ524303 TKT524302:TKV524303 TUP524302:TUR524303 UEL524302:UEN524303 UOH524302:UOJ524303 UYD524302:UYF524303 VHZ524302:VIB524303 VRV524302:VRX524303 WBR524302:WBT524303 WLN524302:WLP524303 WVJ524302:WVL524303 B589838:D589839 IX589838:IZ589839 ST589838:SV589839 ACP589838:ACR589839 AML589838:AMN589839 AWH589838:AWJ589839 BGD589838:BGF589839 BPZ589838:BQB589839 BZV589838:BZX589839 CJR589838:CJT589839 CTN589838:CTP589839 DDJ589838:DDL589839 DNF589838:DNH589839 DXB589838:DXD589839 EGX589838:EGZ589839 EQT589838:EQV589839 FAP589838:FAR589839 FKL589838:FKN589839 FUH589838:FUJ589839 GED589838:GEF589839 GNZ589838:GOB589839 GXV589838:GXX589839 HHR589838:HHT589839 HRN589838:HRP589839 IBJ589838:IBL589839 ILF589838:ILH589839 IVB589838:IVD589839 JEX589838:JEZ589839 JOT589838:JOV589839 JYP589838:JYR589839 KIL589838:KIN589839 KSH589838:KSJ589839 LCD589838:LCF589839 LLZ589838:LMB589839 LVV589838:LVX589839 MFR589838:MFT589839 MPN589838:MPP589839 MZJ589838:MZL589839 NJF589838:NJH589839 NTB589838:NTD589839 OCX589838:OCZ589839 OMT589838:OMV589839 OWP589838:OWR589839 PGL589838:PGN589839 PQH589838:PQJ589839 QAD589838:QAF589839 QJZ589838:QKB589839 QTV589838:QTX589839 RDR589838:RDT589839 RNN589838:RNP589839 RXJ589838:RXL589839 SHF589838:SHH589839 SRB589838:SRD589839 TAX589838:TAZ589839 TKT589838:TKV589839 TUP589838:TUR589839 UEL589838:UEN589839 UOH589838:UOJ589839 UYD589838:UYF589839 VHZ589838:VIB589839 VRV589838:VRX589839 WBR589838:WBT589839 WLN589838:WLP589839 WVJ589838:WVL589839 B655374:D655375 IX655374:IZ655375 ST655374:SV655375 ACP655374:ACR655375 AML655374:AMN655375 AWH655374:AWJ655375 BGD655374:BGF655375 BPZ655374:BQB655375 BZV655374:BZX655375 CJR655374:CJT655375 CTN655374:CTP655375 DDJ655374:DDL655375 DNF655374:DNH655375 DXB655374:DXD655375 EGX655374:EGZ655375 EQT655374:EQV655375 FAP655374:FAR655375 FKL655374:FKN655375 FUH655374:FUJ655375 GED655374:GEF655375 GNZ655374:GOB655375 GXV655374:GXX655375 HHR655374:HHT655375 HRN655374:HRP655375 IBJ655374:IBL655375 ILF655374:ILH655375 IVB655374:IVD655375 JEX655374:JEZ655375 JOT655374:JOV655375 JYP655374:JYR655375 KIL655374:KIN655375 KSH655374:KSJ655375 LCD655374:LCF655375 LLZ655374:LMB655375 LVV655374:LVX655375 MFR655374:MFT655375 MPN655374:MPP655375 MZJ655374:MZL655375 NJF655374:NJH655375 NTB655374:NTD655375 OCX655374:OCZ655375 OMT655374:OMV655375 OWP655374:OWR655375 PGL655374:PGN655375 PQH655374:PQJ655375 QAD655374:QAF655375 QJZ655374:QKB655375 QTV655374:QTX655375 RDR655374:RDT655375 RNN655374:RNP655375 RXJ655374:RXL655375 SHF655374:SHH655375 SRB655374:SRD655375 TAX655374:TAZ655375 TKT655374:TKV655375 TUP655374:TUR655375 UEL655374:UEN655375 UOH655374:UOJ655375 UYD655374:UYF655375 VHZ655374:VIB655375 VRV655374:VRX655375 WBR655374:WBT655375 WLN655374:WLP655375 WVJ655374:WVL655375 B720910:D720911 IX720910:IZ720911 ST720910:SV720911 ACP720910:ACR720911 AML720910:AMN720911 AWH720910:AWJ720911 BGD720910:BGF720911 BPZ720910:BQB720911 BZV720910:BZX720911 CJR720910:CJT720911 CTN720910:CTP720911 DDJ720910:DDL720911 DNF720910:DNH720911 DXB720910:DXD720911 EGX720910:EGZ720911 EQT720910:EQV720911 FAP720910:FAR720911 FKL720910:FKN720911 FUH720910:FUJ720911 GED720910:GEF720911 GNZ720910:GOB720911 GXV720910:GXX720911 HHR720910:HHT720911 HRN720910:HRP720911 IBJ720910:IBL720911 ILF720910:ILH720911 IVB720910:IVD720911 JEX720910:JEZ720911 JOT720910:JOV720911 JYP720910:JYR720911 KIL720910:KIN720911 KSH720910:KSJ720911 LCD720910:LCF720911 LLZ720910:LMB720911 LVV720910:LVX720911 MFR720910:MFT720911 MPN720910:MPP720911 MZJ720910:MZL720911 NJF720910:NJH720911 NTB720910:NTD720911 OCX720910:OCZ720911 OMT720910:OMV720911 OWP720910:OWR720911 PGL720910:PGN720911 PQH720910:PQJ720911 QAD720910:QAF720911 QJZ720910:QKB720911 QTV720910:QTX720911 RDR720910:RDT720911 RNN720910:RNP720911 RXJ720910:RXL720911 SHF720910:SHH720911 SRB720910:SRD720911 TAX720910:TAZ720911 TKT720910:TKV720911 TUP720910:TUR720911 UEL720910:UEN720911 UOH720910:UOJ720911 UYD720910:UYF720911 VHZ720910:VIB720911 VRV720910:VRX720911 WBR720910:WBT720911 WLN720910:WLP720911 WVJ720910:WVL720911 B786446:D786447 IX786446:IZ786447 ST786446:SV786447 ACP786446:ACR786447 AML786446:AMN786447 AWH786446:AWJ786447 BGD786446:BGF786447 BPZ786446:BQB786447 BZV786446:BZX786447 CJR786446:CJT786447 CTN786446:CTP786447 DDJ786446:DDL786447 DNF786446:DNH786447 DXB786446:DXD786447 EGX786446:EGZ786447 EQT786446:EQV786447 FAP786446:FAR786447 FKL786446:FKN786447 FUH786446:FUJ786447 GED786446:GEF786447 GNZ786446:GOB786447 GXV786446:GXX786447 HHR786446:HHT786447 HRN786446:HRP786447 IBJ786446:IBL786447 ILF786446:ILH786447 IVB786446:IVD786447 JEX786446:JEZ786447 JOT786446:JOV786447 JYP786446:JYR786447 KIL786446:KIN786447 KSH786446:KSJ786447 LCD786446:LCF786447 LLZ786446:LMB786447 LVV786446:LVX786447 MFR786446:MFT786447 MPN786446:MPP786447 MZJ786446:MZL786447 NJF786446:NJH786447 NTB786446:NTD786447 OCX786446:OCZ786447 OMT786446:OMV786447 OWP786446:OWR786447 PGL786446:PGN786447 PQH786446:PQJ786447 QAD786446:QAF786447 QJZ786446:QKB786447 QTV786446:QTX786447 RDR786446:RDT786447 RNN786446:RNP786447 RXJ786446:RXL786447 SHF786446:SHH786447 SRB786446:SRD786447 TAX786446:TAZ786447 TKT786446:TKV786447 TUP786446:TUR786447 UEL786446:UEN786447 UOH786446:UOJ786447 UYD786446:UYF786447 VHZ786446:VIB786447 VRV786446:VRX786447 WBR786446:WBT786447 WLN786446:WLP786447 WVJ786446:WVL786447 B851982:D851983 IX851982:IZ851983 ST851982:SV851983 ACP851982:ACR851983 AML851982:AMN851983 AWH851982:AWJ851983 BGD851982:BGF851983 BPZ851982:BQB851983 BZV851982:BZX851983 CJR851982:CJT851983 CTN851982:CTP851983 DDJ851982:DDL851983 DNF851982:DNH851983 DXB851982:DXD851983 EGX851982:EGZ851983 EQT851982:EQV851983 FAP851982:FAR851983 FKL851982:FKN851983 FUH851982:FUJ851983 GED851982:GEF851983 GNZ851982:GOB851983 GXV851982:GXX851983 HHR851982:HHT851983 HRN851982:HRP851983 IBJ851982:IBL851983 ILF851982:ILH851983 IVB851982:IVD851983 JEX851982:JEZ851983 JOT851982:JOV851983 JYP851982:JYR851983 KIL851982:KIN851983 KSH851982:KSJ851983 LCD851982:LCF851983 LLZ851982:LMB851983 LVV851982:LVX851983 MFR851982:MFT851983 MPN851982:MPP851983 MZJ851982:MZL851983 NJF851982:NJH851983 NTB851982:NTD851983 OCX851982:OCZ851983 OMT851982:OMV851983 OWP851982:OWR851983 PGL851982:PGN851983 PQH851982:PQJ851983 QAD851982:QAF851983 QJZ851982:QKB851983 QTV851982:QTX851983 RDR851982:RDT851983 RNN851982:RNP851983 RXJ851982:RXL851983 SHF851982:SHH851983 SRB851982:SRD851983 TAX851982:TAZ851983 TKT851982:TKV851983 TUP851982:TUR851983 UEL851982:UEN851983 UOH851982:UOJ851983 UYD851982:UYF851983 VHZ851982:VIB851983 VRV851982:VRX851983 WBR851982:WBT851983 WLN851982:WLP851983 WVJ851982:WVL851983 B917518:D917519 IX917518:IZ917519 ST917518:SV917519 ACP917518:ACR917519 AML917518:AMN917519 AWH917518:AWJ917519 BGD917518:BGF917519 BPZ917518:BQB917519 BZV917518:BZX917519 CJR917518:CJT917519 CTN917518:CTP917519 DDJ917518:DDL917519 DNF917518:DNH917519 DXB917518:DXD917519 EGX917518:EGZ917519 EQT917518:EQV917519 FAP917518:FAR917519 FKL917518:FKN917519 FUH917518:FUJ917519 GED917518:GEF917519 GNZ917518:GOB917519 GXV917518:GXX917519 HHR917518:HHT917519 HRN917518:HRP917519 IBJ917518:IBL917519 ILF917518:ILH917519 IVB917518:IVD917519 JEX917518:JEZ917519 JOT917518:JOV917519 JYP917518:JYR917519 KIL917518:KIN917519 KSH917518:KSJ917519 LCD917518:LCF917519 LLZ917518:LMB917519 LVV917518:LVX917519 MFR917518:MFT917519 MPN917518:MPP917519 MZJ917518:MZL917519 NJF917518:NJH917519 NTB917518:NTD917519 OCX917518:OCZ917519 OMT917518:OMV917519 OWP917518:OWR917519 PGL917518:PGN917519 PQH917518:PQJ917519 QAD917518:QAF917519 QJZ917518:QKB917519 QTV917518:QTX917519 RDR917518:RDT917519 RNN917518:RNP917519 RXJ917518:RXL917519 SHF917518:SHH917519 SRB917518:SRD917519 TAX917518:TAZ917519 TKT917518:TKV917519 TUP917518:TUR917519 UEL917518:UEN917519 UOH917518:UOJ917519 UYD917518:UYF917519 VHZ917518:VIB917519 VRV917518:VRX917519 WBR917518:WBT917519 WLN917518:WLP917519 WVJ917518:WVL917519 B983054:D983055 IX983054:IZ983055 ST983054:SV983055 ACP983054:ACR983055 AML983054:AMN983055 AWH983054:AWJ983055 BGD983054:BGF983055 BPZ983054:BQB983055 BZV983054:BZX983055 CJR983054:CJT983055 CTN983054:CTP983055 DDJ983054:DDL983055 DNF983054:DNH983055 DXB983054:DXD983055 EGX983054:EGZ983055 EQT983054:EQV983055 FAP983054:FAR983055 FKL983054:FKN983055 FUH983054:FUJ983055 GED983054:GEF983055 GNZ983054:GOB983055 GXV983054:GXX983055 HHR983054:HHT983055 HRN983054:HRP983055 IBJ983054:IBL983055 ILF983054:ILH983055 IVB983054:IVD983055 JEX983054:JEZ983055 JOT983054:JOV983055 JYP983054:JYR983055 KIL983054:KIN983055 KSH983054:KSJ983055 LCD983054:LCF983055 LLZ983054:LMB983055 LVV983054:LVX983055 MFR983054:MFT983055 MPN983054:MPP983055 MZJ983054:MZL983055 NJF983054:NJH983055 NTB983054:NTD983055 OCX983054:OCZ983055 OMT983054:OMV983055 OWP983054:OWR983055 PGL983054:PGN983055 PQH983054:PQJ983055 QAD983054:QAF983055 QJZ983054:QKB983055 QTV983054:QTX983055 RDR983054:RDT983055 RNN983054:RNP983055 RXJ983054:RXL983055 SHF983054:SHH983055 SRB983054:SRD983055 TAX983054:TAZ983055 TKT983054:TKV983055 TUP983054:TUR983055 UEL983054:UEN983055 UOH983054:UOJ983055 UYD983054:UYF983055 VHZ983054:VIB983055 VRV983054:VRX983055 WBR983054:WBT983055 WLN983054:WLP983055 WVJ983054:WVL983055">
      <formula1>CREACAU</formula1>
    </dataValidation>
    <dataValidation type="list" allowBlank="1" showInputMessage="1" showErrorMessage="1" sqref="E6 JA6 SW6 ACS6 AMO6 AWK6 BGG6 BQC6 BZY6 CJU6 CTQ6 DDM6 DNI6 DXE6 EHA6 EQW6 FAS6 FKO6 FUK6 GEG6 GOC6 GXY6 HHU6 HRQ6 IBM6 ILI6 IVE6 JFA6 JOW6 JYS6 KIO6 KSK6 LCG6 LMC6 LVY6 MFU6 MPQ6 MZM6 NJI6 NTE6 ODA6 OMW6 OWS6 PGO6 PQK6 QAG6 QKC6 QTY6 RDU6 RNQ6 RXM6 SHI6 SRE6 TBA6 TKW6 TUS6 UEO6 UOK6 UYG6 VIC6 VRY6 WBU6 WLQ6 WVM6 E65542 JA65542 SW65542 ACS65542 AMO65542 AWK65542 BGG65542 BQC65542 BZY65542 CJU65542 CTQ65542 DDM65542 DNI65542 DXE65542 EHA65542 EQW65542 FAS65542 FKO65542 FUK65542 GEG65542 GOC65542 GXY65542 HHU65542 HRQ65542 IBM65542 ILI65542 IVE65542 JFA65542 JOW65542 JYS65542 KIO65542 KSK65542 LCG65542 LMC65542 LVY65542 MFU65542 MPQ65542 MZM65542 NJI65542 NTE65542 ODA65542 OMW65542 OWS65542 PGO65542 PQK65542 QAG65542 QKC65542 QTY65542 RDU65542 RNQ65542 RXM65542 SHI65542 SRE65542 TBA65542 TKW65542 TUS65542 UEO65542 UOK65542 UYG65542 VIC65542 VRY65542 WBU65542 WLQ65542 WVM65542 E131078 JA131078 SW131078 ACS131078 AMO131078 AWK131078 BGG131078 BQC131078 BZY131078 CJU131078 CTQ131078 DDM131078 DNI131078 DXE131078 EHA131078 EQW131078 FAS131078 FKO131078 FUK131078 GEG131078 GOC131078 GXY131078 HHU131078 HRQ131078 IBM131078 ILI131078 IVE131078 JFA131078 JOW131078 JYS131078 KIO131078 KSK131078 LCG131078 LMC131078 LVY131078 MFU131078 MPQ131078 MZM131078 NJI131078 NTE131078 ODA131078 OMW131078 OWS131078 PGO131078 PQK131078 QAG131078 QKC131078 QTY131078 RDU131078 RNQ131078 RXM131078 SHI131078 SRE131078 TBA131078 TKW131078 TUS131078 UEO131078 UOK131078 UYG131078 VIC131078 VRY131078 WBU131078 WLQ131078 WVM131078 E196614 JA196614 SW196614 ACS196614 AMO196614 AWK196614 BGG196614 BQC196614 BZY196614 CJU196614 CTQ196614 DDM196614 DNI196614 DXE196614 EHA196614 EQW196614 FAS196614 FKO196614 FUK196614 GEG196614 GOC196614 GXY196614 HHU196614 HRQ196614 IBM196614 ILI196614 IVE196614 JFA196614 JOW196614 JYS196614 KIO196614 KSK196614 LCG196614 LMC196614 LVY196614 MFU196614 MPQ196614 MZM196614 NJI196614 NTE196614 ODA196614 OMW196614 OWS196614 PGO196614 PQK196614 QAG196614 QKC196614 QTY196614 RDU196614 RNQ196614 RXM196614 SHI196614 SRE196614 TBA196614 TKW196614 TUS196614 UEO196614 UOK196614 UYG196614 VIC196614 VRY196614 WBU196614 WLQ196614 WVM196614 E262150 JA262150 SW262150 ACS262150 AMO262150 AWK262150 BGG262150 BQC262150 BZY262150 CJU262150 CTQ262150 DDM262150 DNI262150 DXE262150 EHA262150 EQW262150 FAS262150 FKO262150 FUK262150 GEG262150 GOC262150 GXY262150 HHU262150 HRQ262150 IBM262150 ILI262150 IVE262150 JFA262150 JOW262150 JYS262150 KIO262150 KSK262150 LCG262150 LMC262150 LVY262150 MFU262150 MPQ262150 MZM262150 NJI262150 NTE262150 ODA262150 OMW262150 OWS262150 PGO262150 PQK262150 QAG262150 QKC262150 QTY262150 RDU262150 RNQ262150 RXM262150 SHI262150 SRE262150 TBA262150 TKW262150 TUS262150 UEO262150 UOK262150 UYG262150 VIC262150 VRY262150 WBU262150 WLQ262150 WVM262150 E327686 JA327686 SW327686 ACS327686 AMO327686 AWK327686 BGG327686 BQC327686 BZY327686 CJU327686 CTQ327686 DDM327686 DNI327686 DXE327686 EHA327686 EQW327686 FAS327686 FKO327686 FUK327686 GEG327686 GOC327686 GXY327686 HHU327686 HRQ327686 IBM327686 ILI327686 IVE327686 JFA327686 JOW327686 JYS327686 KIO327686 KSK327686 LCG327686 LMC327686 LVY327686 MFU327686 MPQ327686 MZM327686 NJI327686 NTE327686 ODA327686 OMW327686 OWS327686 PGO327686 PQK327686 QAG327686 QKC327686 QTY327686 RDU327686 RNQ327686 RXM327686 SHI327686 SRE327686 TBA327686 TKW327686 TUS327686 UEO327686 UOK327686 UYG327686 VIC327686 VRY327686 WBU327686 WLQ327686 WVM327686 E393222 JA393222 SW393222 ACS393222 AMO393222 AWK393222 BGG393222 BQC393222 BZY393222 CJU393222 CTQ393222 DDM393222 DNI393222 DXE393222 EHA393222 EQW393222 FAS393222 FKO393222 FUK393222 GEG393222 GOC393222 GXY393222 HHU393222 HRQ393222 IBM393222 ILI393222 IVE393222 JFA393222 JOW393222 JYS393222 KIO393222 KSK393222 LCG393222 LMC393222 LVY393222 MFU393222 MPQ393222 MZM393222 NJI393222 NTE393222 ODA393222 OMW393222 OWS393222 PGO393222 PQK393222 QAG393222 QKC393222 QTY393222 RDU393222 RNQ393222 RXM393222 SHI393222 SRE393222 TBA393222 TKW393222 TUS393222 UEO393222 UOK393222 UYG393222 VIC393222 VRY393222 WBU393222 WLQ393222 WVM393222 E458758 JA458758 SW458758 ACS458758 AMO458758 AWK458758 BGG458758 BQC458758 BZY458758 CJU458758 CTQ458758 DDM458758 DNI458758 DXE458758 EHA458758 EQW458758 FAS458758 FKO458758 FUK458758 GEG458758 GOC458758 GXY458758 HHU458758 HRQ458758 IBM458758 ILI458758 IVE458758 JFA458758 JOW458758 JYS458758 KIO458758 KSK458758 LCG458758 LMC458758 LVY458758 MFU458758 MPQ458758 MZM458758 NJI458758 NTE458758 ODA458758 OMW458758 OWS458758 PGO458758 PQK458758 QAG458758 QKC458758 QTY458758 RDU458758 RNQ458758 RXM458758 SHI458758 SRE458758 TBA458758 TKW458758 TUS458758 UEO458758 UOK458758 UYG458758 VIC458758 VRY458758 WBU458758 WLQ458758 WVM458758 E524294 JA524294 SW524294 ACS524294 AMO524294 AWK524294 BGG524294 BQC524294 BZY524294 CJU524294 CTQ524294 DDM524294 DNI524294 DXE524294 EHA524294 EQW524294 FAS524294 FKO524294 FUK524294 GEG524294 GOC524294 GXY524294 HHU524294 HRQ524294 IBM524294 ILI524294 IVE524294 JFA524294 JOW524294 JYS524294 KIO524294 KSK524294 LCG524294 LMC524294 LVY524294 MFU524294 MPQ524294 MZM524294 NJI524294 NTE524294 ODA524294 OMW524294 OWS524294 PGO524294 PQK524294 QAG524294 QKC524294 QTY524294 RDU524294 RNQ524294 RXM524294 SHI524294 SRE524294 TBA524294 TKW524294 TUS524294 UEO524294 UOK524294 UYG524294 VIC524294 VRY524294 WBU524294 WLQ524294 WVM524294 E589830 JA589830 SW589830 ACS589830 AMO589830 AWK589830 BGG589830 BQC589830 BZY589830 CJU589830 CTQ589830 DDM589830 DNI589830 DXE589830 EHA589830 EQW589830 FAS589830 FKO589830 FUK589830 GEG589830 GOC589830 GXY589830 HHU589830 HRQ589830 IBM589830 ILI589830 IVE589830 JFA589830 JOW589830 JYS589830 KIO589830 KSK589830 LCG589830 LMC589830 LVY589830 MFU589830 MPQ589830 MZM589830 NJI589830 NTE589830 ODA589830 OMW589830 OWS589830 PGO589830 PQK589830 QAG589830 QKC589830 QTY589830 RDU589830 RNQ589830 RXM589830 SHI589830 SRE589830 TBA589830 TKW589830 TUS589830 UEO589830 UOK589830 UYG589830 VIC589830 VRY589830 WBU589830 WLQ589830 WVM589830 E655366 JA655366 SW655366 ACS655366 AMO655366 AWK655366 BGG655366 BQC655366 BZY655366 CJU655366 CTQ655366 DDM655366 DNI655366 DXE655366 EHA655366 EQW655366 FAS655366 FKO655366 FUK655366 GEG655366 GOC655366 GXY655366 HHU655366 HRQ655366 IBM655366 ILI655366 IVE655366 JFA655366 JOW655366 JYS655366 KIO655366 KSK655366 LCG655366 LMC655366 LVY655366 MFU655366 MPQ655366 MZM655366 NJI655366 NTE655366 ODA655366 OMW655366 OWS655366 PGO655366 PQK655366 QAG655366 QKC655366 QTY655366 RDU655366 RNQ655366 RXM655366 SHI655366 SRE655366 TBA655366 TKW655366 TUS655366 UEO655366 UOK655366 UYG655366 VIC655366 VRY655366 WBU655366 WLQ655366 WVM655366 E720902 JA720902 SW720902 ACS720902 AMO720902 AWK720902 BGG720902 BQC720902 BZY720902 CJU720902 CTQ720902 DDM720902 DNI720902 DXE720902 EHA720902 EQW720902 FAS720902 FKO720902 FUK720902 GEG720902 GOC720902 GXY720902 HHU720902 HRQ720902 IBM720902 ILI720902 IVE720902 JFA720902 JOW720902 JYS720902 KIO720902 KSK720902 LCG720902 LMC720902 LVY720902 MFU720902 MPQ720902 MZM720902 NJI720902 NTE720902 ODA720902 OMW720902 OWS720902 PGO720902 PQK720902 QAG720902 QKC720902 QTY720902 RDU720902 RNQ720902 RXM720902 SHI720902 SRE720902 TBA720902 TKW720902 TUS720902 UEO720902 UOK720902 UYG720902 VIC720902 VRY720902 WBU720902 WLQ720902 WVM720902 E786438 JA786438 SW786438 ACS786438 AMO786438 AWK786438 BGG786438 BQC786438 BZY786438 CJU786438 CTQ786438 DDM786438 DNI786438 DXE786438 EHA786438 EQW786438 FAS786438 FKO786438 FUK786438 GEG786438 GOC786438 GXY786438 HHU786438 HRQ786438 IBM786438 ILI786438 IVE786438 JFA786438 JOW786438 JYS786438 KIO786438 KSK786438 LCG786438 LMC786438 LVY786438 MFU786438 MPQ786438 MZM786438 NJI786438 NTE786438 ODA786438 OMW786438 OWS786438 PGO786438 PQK786438 QAG786438 QKC786438 QTY786438 RDU786438 RNQ786438 RXM786438 SHI786438 SRE786438 TBA786438 TKW786438 TUS786438 UEO786438 UOK786438 UYG786438 VIC786438 VRY786438 WBU786438 WLQ786438 WVM786438 E851974 JA851974 SW851974 ACS851974 AMO851974 AWK851974 BGG851974 BQC851974 BZY851974 CJU851974 CTQ851974 DDM851974 DNI851974 DXE851974 EHA851974 EQW851974 FAS851974 FKO851974 FUK851974 GEG851974 GOC851974 GXY851974 HHU851974 HRQ851974 IBM851974 ILI851974 IVE851974 JFA851974 JOW851974 JYS851974 KIO851974 KSK851974 LCG851974 LMC851974 LVY851974 MFU851974 MPQ851974 MZM851974 NJI851974 NTE851974 ODA851974 OMW851974 OWS851974 PGO851974 PQK851974 QAG851974 QKC851974 QTY851974 RDU851974 RNQ851974 RXM851974 SHI851974 SRE851974 TBA851974 TKW851974 TUS851974 UEO851974 UOK851974 UYG851974 VIC851974 VRY851974 WBU851974 WLQ851974 WVM851974 E917510 JA917510 SW917510 ACS917510 AMO917510 AWK917510 BGG917510 BQC917510 BZY917510 CJU917510 CTQ917510 DDM917510 DNI917510 DXE917510 EHA917510 EQW917510 FAS917510 FKO917510 FUK917510 GEG917510 GOC917510 GXY917510 HHU917510 HRQ917510 IBM917510 ILI917510 IVE917510 JFA917510 JOW917510 JYS917510 KIO917510 KSK917510 LCG917510 LMC917510 LVY917510 MFU917510 MPQ917510 MZM917510 NJI917510 NTE917510 ODA917510 OMW917510 OWS917510 PGO917510 PQK917510 QAG917510 QKC917510 QTY917510 RDU917510 RNQ917510 RXM917510 SHI917510 SRE917510 TBA917510 TKW917510 TUS917510 UEO917510 UOK917510 UYG917510 VIC917510 VRY917510 WBU917510 WLQ917510 WVM917510 E983046 JA983046 SW983046 ACS983046 AMO983046 AWK983046 BGG983046 BQC983046 BZY983046 CJU983046 CTQ983046 DDM983046 DNI983046 DXE983046 EHA983046 EQW983046 FAS983046 FKO983046 FUK983046 GEG983046 GOC983046 GXY983046 HHU983046 HRQ983046 IBM983046 ILI983046 IVE983046 JFA983046 JOW983046 JYS983046 KIO983046 KSK983046 LCG983046 LMC983046 LVY983046 MFU983046 MPQ983046 MZM983046 NJI983046 NTE983046 ODA983046 OMW983046 OWS983046 PGO983046 PQK983046 QAG983046 QKC983046 QTY983046 RDU983046 RNQ983046 RXM983046 SHI983046 SRE983046 TBA983046 TKW983046 TUS983046 UEO983046 UOK983046 UYG983046 VIC983046 VRY983046 WBU983046 WLQ983046 WVM983046">
      <formula1>ente</formula1>
    </dataValidation>
    <dataValidation type="list" allowBlank="1" showInputMessage="1" showErrorMessage="1" sqref="E19 JA19 SW19 ACS19 AMO19 AWK19 BGG19 BQC19 BZY19 CJU19 CTQ19 DDM19 DNI19 DXE19 EHA19 EQW19 FAS19 FKO19 FUK19 GEG19 GOC19 GXY19 HHU19 HRQ19 IBM19 ILI19 IVE19 JFA19 JOW19 JYS19 KIO19 KSK19 LCG19 LMC19 LVY19 MFU19 MPQ19 MZM19 NJI19 NTE19 ODA19 OMW19 OWS19 PGO19 PQK19 QAG19 QKC19 QTY19 RDU19 RNQ19 RXM19 SHI19 SRE19 TBA19 TKW19 TUS19 UEO19 UOK19 UYG19 VIC19 VRY19 WBU19 WLQ19 WVM19 E65555 JA65555 SW65555 ACS65555 AMO65555 AWK65555 BGG65555 BQC65555 BZY65555 CJU65555 CTQ65555 DDM65555 DNI65555 DXE65555 EHA65555 EQW65555 FAS65555 FKO65555 FUK65555 GEG65555 GOC65555 GXY65555 HHU65555 HRQ65555 IBM65555 ILI65555 IVE65555 JFA65555 JOW65555 JYS65555 KIO65555 KSK65555 LCG65555 LMC65555 LVY65555 MFU65555 MPQ65555 MZM65555 NJI65555 NTE65555 ODA65555 OMW65555 OWS65555 PGO65555 PQK65555 QAG65555 QKC65555 QTY65555 RDU65555 RNQ65555 RXM65555 SHI65555 SRE65555 TBA65555 TKW65555 TUS65555 UEO65555 UOK65555 UYG65555 VIC65555 VRY65555 WBU65555 WLQ65555 WVM65555 E131091 JA131091 SW131091 ACS131091 AMO131091 AWK131091 BGG131091 BQC131091 BZY131091 CJU131091 CTQ131091 DDM131091 DNI131091 DXE131091 EHA131091 EQW131091 FAS131091 FKO131091 FUK131091 GEG131091 GOC131091 GXY131091 HHU131091 HRQ131091 IBM131091 ILI131091 IVE131091 JFA131091 JOW131091 JYS131091 KIO131091 KSK131091 LCG131091 LMC131091 LVY131091 MFU131091 MPQ131091 MZM131091 NJI131091 NTE131091 ODA131091 OMW131091 OWS131091 PGO131091 PQK131091 QAG131091 QKC131091 QTY131091 RDU131091 RNQ131091 RXM131091 SHI131091 SRE131091 TBA131091 TKW131091 TUS131091 UEO131091 UOK131091 UYG131091 VIC131091 VRY131091 WBU131091 WLQ131091 WVM131091 E196627 JA196627 SW196627 ACS196627 AMO196627 AWK196627 BGG196627 BQC196627 BZY196627 CJU196627 CTQ196627 DDM196627 DNI196627 DXE196627 EHA196627 EQW196627 FAS196627 FKO196627 FUK196627 GEG196627 GOC196627 GXY196627 HHU196627 HRQ196627 IBM196627 ILI196627 IVE196627 JFA196627 JOW196627 JYS196627 KIO196627 KSK196627 LCG196627 LMC196627 LVY196627 MFU196627 MPQ196627 MZM196627 NJI196627 NTE196627 ODA196627 OMW196627 OWS196627 PGO196627 PQK196627 QAG196627 QKC196627 QTY196627 RDU196627 RNQ196627 RXM196627 SHI196627 SRE196627 TBA196627 TKW196627 TUS196627 UEO196627 UOK196627 UYG196627 VIC196627 VRY196627 WBU196627 WLQ196627 WVM196627 E262163 JA262163 SW262163 ACS262163 AMO262163 AWK262163 BGG262163 BQC262163 BZY262163 CJU262163 CTQ262163 DDM262163 DNI262163 DXE262163 EHA262163 EQW262163 FAS262163 FKO262163 FUK262163 GEG262163 GOC262163 GXY262163 HHU262163 HRQ262163 IBM262163 ILI262163 IVE262163 JFA262163 JOW262163 JYS262163 KIO262163 KSK262163 LCG262163 LMC262163 LVY262163 MFU262163 MPQ262163 MZM262163 NJI262163 NTE262163 ODA262163 OMW262163 OWS262163 PGO262163 PQK262163 QAG262163 QKC262163 QTY262163 RDU262163 RNQ262163 RXM262163 SHI262163 SRE262163 TBA262163 TKW262163 TUS262163 UEO262163 UOK262163 UYG262163 VIC262163 VRY262163 WBU262163 WLQ262163 WVM262163 E327699 JA327699 SW327699 ACS327699 AMO327699 AWK327699 BGG327699 BQC327699 BZY327699 CJU327699 CTQ327699 DDM327699 DNI327699 DXE327699 EHA327699 EQW327699 FAS327699 FKO327699 FUK327699 GEG327699 GOC327699 GXY327699 HHU327699 HRQ327699 IBM327699 ILI327699 IVE327699 JFA327699 JOW327699 JYS327699 KIO327699 KSK327699 LCG327699 LMC327699 LVY327699 MFU327699 MPQ327699 MZM327699 NJI327699 NTE327699 ODA327699 OMW327699 OWS327699 PGO327699 PQK327699 QAG327699 QKC327699 QTY327699 RDU327699 RNQ327699 RXM327699 SHI327699 SRE327699 TBA327699 TKW327699 TUS327699 UEO327699 UOK327699 UYG327699 VIC327699 VRY327699 WBU327699 WLQ327699 WVM327699 E393235 JA393235 SW393235 ACS393235 AMO393235 AWK393235 BGG393235 BQC393235 BZY393235 CJU393235 CTQ393235 DDM393235 DNI393235 DXE393235 EHA393235 EQW393235 FAS393235 FKO393235 FUK393235 GEG393235 GOC393235 GXY393235 HHU393235 HRQ393235 IBM393235 ILI393235 IVE393235 JFA393235 JOW393235 JYS393235 KIO393235 KSK393235 LCG393235 LMC393235 LVY393235 MFU393235 MPQ393235 MZM393235 NJI393235 NTE393235 ODA393235 OMW393235 OWS393235 PGO393235 PQK393235 QAG393235 QKC393235 QTY393235 RDU393235 RNQ393235 RXM393235 SHI393235 SRE393235 TBA393235 TKW393235 TUS393235 UEO393235 UOK393235 UYG393235 VIC393235 VRY393235 WBU393235 WLQ393235 WVM393235 E458771 JA458771 SW458771 ACS458771 AMO458771 AWK458771 BGG458771 BQC458771 BZY458771 CJU458771 CTQ458771 DDM458771 DNI458771 DXE458771 EHA458771 EQW458771 FAS458771 FKO458771 FUK458771 GEG458771 GOC458771 GXY458771 HHU458771 HRQ458771 IBM458771 ILI458771 IVE458771 JFA458771 JOW458771 JYS458771 KIO458771 KSK458771 LCG458771 LMC458771 LVY458771 MFU458771 MPQ458771 MZM458771 NJI458771 NTE458771 ODA458771 OMW458771 OWS458771 PGO458771 PQK458771 QAG458771 QKC458771 QTY458771 RDU458771 RNQ458771 RXM458771 SHI458771 SRE458771 TBA458771 TKW458771 TUS458771 UEO458771 UOK458771 UYG458771 VIC458771 VRY458771 WBU458771 WLQ458771 WVM458771 E524307 JA524307 SW524307 ACS524307 AMO524307 AWK524307 BGG524307 BQC524307 BZY524307 CJU524307 CTQ524307 DDM524307 DNI524307 DXE524307 EHA524307 EQW524307 FAS524307 FKO524307 FUK524307 GEG524307 GOC524307 GXY524307 HHU524307 HRQ524307 IBM524307 ILI524307 IVE524307 JFA524307 JOW524307 JYS524307 KIO524307 KSK524307 LCG524307 LMC524307 LVY524307 MFU524307 MPQ524307 MZM524307 NJI524307 NTE524307 ODA524307 OMW524307 OWS524307 PGO524307 PQK524307 QAG524307 QKC524307 QTY524307 RDU524307 RNQ524307 RXM524307 SHI524307 SRE524307 TBA524307 TKW524307 TUS524307 UEO524307 UOK524307 UYG524307 VIC524307 VRY524307 WBU524307 WLQ524307 WVM524307 E589843 JA589843 SW589843 ACS589843 AMO589843 AWK589843 BGG589843 BQC589843 BZY589843 CJU589843 CTQ589843 DDM589843 DNI589843 DXE589843 EHA589843 EQW589843 FAS589843 FKO589843 FUK589843 GEG589843 GOC589843 GXY589843 HHU589843 HRQ589843 IBM589843 ILI589843 IVE589843 JFA589843 JOW589843 JYS589843 KIO589843 KSK589843 LCG589843 LMC589843 LVY589843 MFU589843 MPQ589843 MZM589843 NJI589843 NTE589843 ODA589843 OMW589843 OWS589843 PGO589843 PQK589843 QAG589843 QKC589843 QTY589843 RDU589843 RNQ589843 RXM589843 SHI589843 SRE589843 TBA589843 TKW589843 TUS589843 UEO589843 UOK589843 UYG589843 VIC589843 VRY589843 WBU589843 WLQ589843 WVM589843 E655379 JA655379 SW655379 ACS655379 AMO655379 AWK655379 BGG655379 BQC655379 BZY655379 CJU655379 CTQ655379 DDM655379 DNI655379 DXE655379 EHA655379 EQW655379 FAS655379 FKO655379 FUK655379 GEG655379 GOC655379 GXY655379 HHU655379 HRQ655379 IBM655379 ILI655379 IVE655379 JFA655379 JOW655379 JYS655379 KIO655379 KSK655379 LCG655379 LMC655379 LVY655379 MFU655379 MPQ655379 MZM655379 NJI655379 NTE655379 ODA655379 OMW655379 OWS655379 PGO655379 PQK655379 QAG655379 QKC655379 QTY655379 RDU655379 RNQ655379 RXM655379 SHI655379 SRE655379 TBA655379 TKW655379 TUS655379 UEO655379 UOK655379 UYG655379 VIC655379 VRY655379 WBU655379 WLQ655379 WVM655379 E720915 JA720915 SW720915 ACS720915 AMO720915 AWK720915 BGG720915 BQC720915 BZY720915 CJU720915 CTQ720915 DDM720915 DNI720915 DXE720915 EHA720915 EQW720915 FAS720915 FKO720915 FUK720915 GEG720915 GOC720915 GXY720915 HHU720915 HRQ720915 IBM720915 ILI720915 IVE720915 JFA720915 JOW720915 JYS720915 KIO720915 KSK720915 LCG720915 LMC720915 LVY720915 MFU720915 MPQ720915 MZM720915 NJI720915 NTE720915 ODA720915 OMW720915 OWS720915 PGO720915 PQK720915 QAG720915 QKC720915 QTY720915 RDU720915 RNQ720915 RXM720915 SHI720915 SRE720915 TBA720915 TKW720915 TUS720915 UEO720915 UOK720915 UYG720915 VIC720915 VRY720915 WBU720915 WLQ720915 WVM720915 E786451 JA786451 SW786451 ACS786451 AMO786451 AWK786451 BGG786451 BQC786451 BZY786451 CJU786451 CTQ786451 DDM786451 DNI786451 DXE786451 EHA786451 EQW786451 FAS786451 FKO786451 FUK786451 GEG786451 GOC786451 GXY786451 HHU786451 HRQ786451 IBM786451 ILI786451 IVE786451 JFA786451 JOW786451 JYS786451 KIO786451 KSK786451 LCG786451 LMC786451 LVY786451 MFU786451 MPQ786451 MZM786451 NJI786451 NTE786451 ODA786451 OMW786451 OWS786451 PGO786451 PQK786451 QAG786451 QKC786451 QTY786451 RDU786451 RNQ786451 RXM786451 SHI786451 SRE786451 TBA786451 TKW786451 TUS786451 UEO786451 UOK786451 UYG786451 VIC786451 VRY786451 WBU786451 WLQ786451 WVM786451 E851987 JA851987 SW851987 ACS851987 AMO851987 AWK851987 BGG851987 BQC851987 BZY851987 CJU851987 CTQ851987 DDM851987 DNI851987 DXE851987 EHA851987 EQW851987 FAS851987 FKO851987 FUK851987 GEG851987 GOC851987 GXY851987 HHU851987 HRQ851987 IBM851987 ILI851987 IVE851987 JFA851987 JOW851987 JYS851987 KIO851987 KSK851987 LCG851987 LMC851987 LVY851987 MFU851987 MPQ851987 MZM851987 NJI851987 NTE851987 ODA851987 OMW851987 OWS851987 PGO851987 PQK851987 QAG851987 QKC851987 QTY851987 RDU851987 RNQ851987 RXM851987 SHI851987 SRE851987 TBA851987 TKW851987 TUS851987 UEO851987 UOK851987 UYG851987 VIC851987 VRY851987 WBU851987 WLQ851987 WVM851987 E917523 JA917523 SW917523 ACS917523 AMO917523 AWK917523 BGG917523 BQC917523 BZY917523 CJU917523 CTQ917523 DDM917523 DNI917523 DXE917523 EHA917523 EQW917523 FAS917523 FKO917523 FUK917523 GEG917523 GOC917523 GXY917523 HHU917523 HRQ917523 IBM917523 ILI917523 IVE917523 JFA917523 JOW917523 JYS917523 KIO917523 KSK917523 LCG917523 LMC917523 LVY917523 MFU917523 MPQ917523 MZM917523 NJI917523 NTE917523 ODA917523 OMW917523 OWS917523 PGO917523 PQK917523 QAG917523 QKC917523 QTY917523 RDU917523 RNQ917523 RXM917523 SHI917523 SRE917523 TBA917523 TKW917523 TUS917523 UEO917523 UOK917523 UYG917523 VIC917523 VRY917523 WBU917523 WLQ917523 WVM917523 E983059 JA983059 SW983059 ACS983059 AMO983059 AWK983059 BGG983059 BQC983059 BZY983059 CJU983059 CTQ983059 DDM983059 DNI983059 DXE983059 EHA983059 EQW983059 FAS983059 FKO983059 FUK983059 GEG983059 GOC983059 GXY983059 HHU983059 HRQ983059 IBM983059 ILI983059 IVE983059 JFA983059 JOW983059 JYS983059 KIO983059 KSK983059 LCG983059 LMC983059 LVY983059 MFU983059 MPQ983059 MZM983059 NJI983059 NTE983059 ODA983059 OMW983059 OWS983059 PGO983059 PQK983059 QAG983059 QKC983059 QTY983059 RDU983059 RNQ983059 RXM983059 SHI983059 SRE983059 TBA983059 TKW983059 TUS983059 UEO983059 UOK983059 UYG983059 VIC983059 VRY983059 WBU983059 WLQ983059 WVM983059">
      <formula1>regime</formula1>
    </dataValidation>
  </dataValidations>
  <pageMargins left="0.78740157499999996" right="0.78740157499999996" top="0.984251969" bottom="0.984251969" header="0.49212598499999999" footer="0.49212598499999999"/>
  <pageSetup paperSize="9"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16</vt:i4>
      </vt:variant>
    </vt:vector>
  </HeadingPairs>
  <TitlesOfParts>
    <vt:vector size="26" baseType="lpstr">
      <vt:lpstr>CRONOGRAMA</vt:lpstr>
      <vt:lpstr>RESUMO SERVIÇOS</vt:lpstr>
      <vt:lpstr>ORÇAMENTO</vt:lpstr>
      <vt:lpstr>MEMÓRIA</vt:lpstr>
      <vt:lpstr>COMP.01</vt:lpstr>
      <vt:lpstr>COMP2</vt:lpstr>
      <vt:lpstr>COMP3</vt:lpstr>
      <vt:lpstr>BDI</vt:lpstr>
      <vt:lpstr>PREENCHER</vt:lpstr>
      <vt:lpstr>DECLARAÇÃO</vt:lpstr>
      <vt:lpstr>BDI!Area_de_impressao</vt:lpstr>
      <vt:lpstr>COMP.01!Area_de_impressao</vt:lpstr>
      <vt:lpstr>COMP2!Area_de_impressao</vt:lpstr>
      <vt:lpstr>COMP3!Area_de_impressao</vt:lpstr>
      <vt:lpstr>CRONOGRAMA!Area_de_impressao</vt:lpstr>
      <vt:lpstr>DECLARAÇÃO!Area_de_impressao</vt:lpstr>
      <vt:lpstr>MEMÓRIA!Area_de_impressao</vt:lpstr>
      <vt:lpstr>ORÇAMENTO!Area_de_impressao</vt:lpstr>
      <vt:lpstr>'RESUMO SERVIÇOS'!Area_de_impressao</vt:lpstr>
      <vt:lpstr>BASEDECALCULO</vt:lpstr>
      <vt:lpstr>CREACAU</vt:lpstr>
      <vt:lpstr>ENCARGOS</vt:lpstr>
      <vt:lpstr>ente</vt:lpstr>
      <vt:lpstr>regime</vt:lpstr>
      <vt:lpstr>MEMÓRIA!Titulos_de_impressao</vt:lpstr>
      <vt:lpstr>ORÇAMENTO!Titulos_de_impressao</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felipec</dc:creator>
  <cp:lastModifiedBy>Admin</cp:lastModifiedBy>
  <cp:lastPrinted>2019-03-22T04:41:15Z</cp:lastPrinted>
  <dcterms:created xsi:type="dcterms:W3CDTF">2013-11-25T16:40:55Z</dcterms:created>
  <dcterms:modified xsi:type="dcterms:W3CDTF">2019-03-22T12:06:36Z</dcterms:modified>
</cp:coreProperties>
</file>